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XPEDIENTES VARIOS\EXPEDIENTES FINALES MPPD\REFORMULACION EXPEDIENTE YANABAMBA\5. CALCULOS JUSTIFICATIVOS\CALCULOS SISTEMA DE ALCANTARILLADO\"/>
    </mc:Choice>
  </mc:AlternateContent>
  <bookViews>
    <workbookView xWindow="240" yWindow="105" windowWidth="15600" windowHeight="9720"/>
  </bookViews>
  <sheets>
    <sheet name="BIODIGESTOR Y POZO INFILTRACION" sheetId="1" r:id="rId1"/>
    <sheet name="TEST DE PERCOLACION 01" sheetId="3" r:id="rId2"/>
    <sheet name="TEST DE PERCOLACION 02" sheetId="4" r:id="rId3"/>
    <sheet name="TEST DE PERCOLACION 03" sheetId="6" r:id="rId4"/>
    <sheet name="TEST DE PERCOLACION 04" sheetId="5" r:id="rId5"/>
  </sheets>
  <definedNames>
    <definedName name="_xlnm.Print_Area" localSheetId="0">'BIODIGESTOR Y POZO INFILTRACION'!$A$1:$J$144</definedName>
    <definedName name="_xlnm.Print_Titles" localSheetId="0">'BIODIGESTOR Y POZO INFILTRACION'!$1:$3</definedName>
  </definedNames>
  <calcPr calcId="152511"/>
</workbook>
</file>

<file path=xl/calcChain.xml><?xml version="1.0" encoding="utf-8"?>
<calcChain xmlns="http://schemas.openxmlformats.org/spreadsheetml/2006/main">
  <c r="C20" i="5" l="1"/>
  <c r="C19" i="5"/>
  <c r="C18" i="5"/>
  <c r="C17" i="5"/>
  <c r="C16" i="5"/>
  <c r="C15" i="5"/>
  <c r="C14" i="5"/>
  <c r="C13" i="5"/>
  <c r="C12" i="5"/>
  <c r="C11" i="5"/>
  <c r="C10" i="5"/>
  <c r="C9" i="5"/>
  <c r="A3" i="5"/>
  <c r="F21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19" i="5" s="1"/>
  <c r="G20" i="5" s="1"/>
  <c r="D9" i="5"/>
  <c r="B9" i="5"/>
  <c r="B15" i="5" l="1"/>
  <c r="D15" i="5" s="1"/>
  <c r="H15" i="5" s="1"/>
  <c r="B10" i="5"/>
  <c r="D10" i="5" s="1"/>
  <c r="H10" i="5" s="1"/>
  <c r="B20" i="5"/>
  <c r="D20" i="5" s="1"/>
  <c r="H20" i="5" s="1"/>
  <c r="B11" i="5"/>
  <c r="D11" i="5" s="1"/>
  <c r="H11" i="5" s="1"/>
  <c r="B12" i="5"/>
  <c r="D12" i="5" s="1"/>
  <c r="H12" i="5" s="1"/>
  <c r="B19" i="5"/>
  <c r="D19" i="5" s="1"/>
  <c r="H19" i="5" s="1"/>
  <c r="B18" i="5"/>
  <c r="D18" i="5" s="1"/>
  <c r="H18" i="5" s="1"/>
  <c r="B16" i="5"/>
  <c r="D16" i="5" s="1"/>
  <c r="H16" i="5" s="1"/>
  <c r="B14" i="5"/>
  <c r="D14" i="5" s="1"/>
  <c r="H14" i="5" s="1"/>
  <c r="E9" i="5"/>
  <c r="B13" i="5"/>
  <c r="D13" i="5" s="1"/>
  <c r="B17" i="5"/>
  <c r="D17" i="5" s="1"/>
  <c r="H9" i="5"/>
  <c r="E10" i="5" l="1"/>
  <c r="E11" i="5" s="1"/>
  <c r="E12" i="5" s="1"/>
  <c r="E13" i="5" s="1"/>
  <c r="E14" i="5" s="1"/>
  <c r="E15" i="5" s="1"/>
  <c r="E16" i="5" s="1"/>
  <c r="E17" i="5" s="1"/>
  <c r="E18" i="5" s="1"/>
  <c r="E19" i="5" s="1"/>
  <c r="E20" i="5" s="1"/>
  <c r="H13" i="5"/>
  <c r="B21" i="5"/>
  <c r="I9" i="5"/>
  <c r="I10" i="5" s="1"/>
  <c r="I11" i="5" s="1"/>
  <c r="I12" i="5" s="1"/>
  <c r="H17" i="5"/>
  <c r="D21" i="5"/>
  <c r="C36" i="5" s="1"/>
  <c r="I13" i="5" l="1"/>
  <c r="I14" i="5" s="1"/>
  <c r="I15" i="5" s="1"/>
  <c r="I16" i="5" s="1"/>
  <c r="I17" i="5" s="1"/>
  <c r="I18" i="5" s="1"/>
  <c r="I19" i="5" s="1"/>
  <c r="I20" i="5" s="1"/>
  <c r="H21" i="5"/>
  <c r="C35" i="5" s="1"/>
  <c r="A3" i="6" l="1"/>
  <c r="F20" i="6"/>
  <c r="C19" i="6"/>
  <c r="C18" i="6"/>
  <c r="B18" i="6" s="1"/>
  <c r="D18" i="6" s="1"/>
  <c r="H18" i="6" s="1"/>
  <c r="C17" i="6"/>
  <c r="B17" i="6" s="1"/>
  <c r="D17" i="6" s="1"/>
  <c r="H17" i="6" s="1"/>
  <c r="C16" i="6"/>
  <c r="C15" i="6"/>
  <c r="B15" i="6" s="1"/>
  <c r="D15" i="6" s="1"/>
  <c r="H15" i="6" s="1"/>
  <c r="C14" i="6"/>
  <c r="B14" i="6" s="1"/>
  <c r="D14" i="6" s="1"/>
  <c r="H14" i="6" s="1"/>
  <c r="C13" i="6"/>
  <c r="B13" i="6" s="1"/>
  <c r="D13" i="6" s="1"/>
  <c r="H13" i="6" s="1"/>
  <c r="C12" i="6"/>
  <c r="C11" i="6"/>
  <c r="C10" i="6"/>
  <c r="B10" i="6" s="1"/>
  <c r="D10" i="6" s="1"/>
  <c r="H10" i="6" s="1"/>
  <c r="C9" i="6"/>
  <c r="B9" i="6" s="1"/>
  <c r="D9" i="6" s="1"/>
  <c r="H9" i="6" s="1"/>
  <c r="G8" i="6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D8" i="6"/>
  <c r="B8" i="6"/>
  <c r="A3" i="4"/>
  <c r="F20" i="4"/>
  <c r="C19" i="4"/>
  <c r="C18" i="4"/>
  <c r="B18" i="4" s="1"/>
  <c r="D18" i="4" s="1"/>
  <c r="H18" i="4" s="1"/>
  <c r="C17" i="4"/>
  <c r="B17" i="4" s="1"/>
  <c r="D17" i="4" s="1"/>
  <c r="H17" i="4" s="1"/>
  <c r="C16" i="4"/>
  <c r="C15" i="4"/>
  <c r="C14" i="4"/>
  <c r="B14" i="4" s="1"/>
  <c r="D14" i="4" s="1"/>
  <c r="H14" i="4" s="1"/>
  <c r="C13" i="4"/>
  <c r="B13" i="4" s="1"/>
  <c r="D13" i="4" s="1"/>
  <c r="H13" i="4" s="1"/>
  <c r="C12" i="4"/>
  <c r="C11" i="4"/>
  <c r="C10" i="4"/>
  <c r="C9" i="4"/>
  <c r="B9" i="4" s="1"/>
  <c r="D9" i="4" s="1"/>
  <c r="H9" i="4" s="1"/>
  <c r="G8" i="4"/>
  <c r="G9" i="4" s="1"/>
  <c r="G10" i="4" s="1"/>
  <c r="G11" i="4" s="1"/>
  <c r="G12" i="4" s="1"/>
  <c r="G13" i="4" s="1"/>
  <c r="G14" i="4" s="1"/>
  <c r="G15" i="4" s="1"/>
  <c r="G16" i="4" s="1"/>
  <c r="G17" i="4" s="1"/>
  <c r="G18" i="4" s="1"/>
  <c r="G19" i="4" s="1"/>
  <c r="B8" i="4"/>
  <c r="D8" i="4" s="1"/>
  <c r="B11" i="6" l="1"/>
  <c r="D11" i="6" s="1"/>
  <c r="H11" i="6" s="1"/>
  <c r="B19" i="6"/>
  <c r="D19" i="6" s="1"/>
  <c r="H19" i="6" s="1"/>
  <c r="E8" i="6"/>
  <c r="E9" i="6" s="1"/>
  <c r="E10" i="6" s="1"/>
  <c r="E11" i="6" s="1"/>
  <c r="B12" i="6"/>
  <c r="D12" i="6" s="1"/>
  <c r="H12" i="6" s="1"/>
  <c r="B16" i="6"/>
  <c r="D16" i="6" s="1"/>
  <c r="H16" i="6" s="1"/>
  <c r="H8" i="6"/>
  <c r="B11" i="4"/>
  <c r="D11" i="4" s="1"/>
  <c r="H11" i="4" s="1"/>
  <c r="B19" i="4"/>
  <c r="D19" i="4" s="1"/>
  <c r="H19" i="4" s="1"/>
  <c r="B10" i="4"/>
  <c r="D10" i="4" s="1"/>
  <c r="H10" i="4" s="1"/>
  <c r="B15" i="4"/>
  <c r="D15" i="4" s="1"/>
  <c r="H15" i="4" s="1"/>
  <c r="B12" i="4"/>
  <c r="D12" i="4" s="1"/>
  <c r="H12" i="4" s="1"/>
  <c r="B16" i="4"/>
  <c r="D16" i="4" s="1"/>
  <c r="H16" i="4" s="1"/>
  <c r="E8" i="4"/>
  <c r="E9" i="4" s="1"/>
  <c r="E10" i="4" s="1"/>
  <c r="E11" i="4" s="1"/>
  <c r="H8" i="4"/>
  <c r="E12" i="6" l="1"/>
  <c r="E13" i="6" s="1"/>
  <c r="E14" i="6" s="1"/>
  <c r="E15" i="6" s="1"/>
  <c r="E16" i="6" s="1"/>
  <c r="E17" i="6" s="1"/>
  <c r="E18" i="6" s="1"/>
  <c r="E19" i="6" s="1"/>
  <c r="I8" i="6"/>
  <c r="I9" i="6" s="1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H20" i="6"/>
  <c r="C35" i="6" s="1"/>
  <c r="B20" i="6"/>
  <c r="D20" i="6"/>
  <c r="C36" i="6" s="1"/>
  <c r="I8" i="4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H20" i="4"/>
  <c r="C35" i="4" s="1"/>
  <c r="D20" i="4"/>
  <c r="C36" i="4" s="1"/>
  <c r="E12" i="4"/>
  <c r="E13" i="4" s="1"/>
  <c r="E14" i="4" s="1"/>
  <c r="E15" i="4" s="1"/>
  <c r="E16" i="4" s="1"/>
  <c r="E17" i="4" s="1"/>
  <c r="E18" i="4" s="1"/>
  <c r="E19" i="4" s="1"/>
  <c r="B20" i="4"/>
  <c r="A3" i="3" l="1"/>
  <c r="F21" i="3" l="1"/>
  <c r="C20" i="3"/>
  <c r="B20" i="3" s="1"/>
  <c r="D20" i="3" s="1"/>
  <c r="C19" i="3"/>
  <c r="B19" i="3"/>
  <c r="D19" i="3" s="1"/>
  <c r="C18" i="3"/>
  <c r="B18" i="3"/>
  <c r="D18" i="3" s="1"/>
  <c r="C17" i="3"/>
  <c r="C16" i="3"/>
  <c r="B16" i="3" s="1"/>
  <c r="D16" i="3" s="1"/>
  <c r="C15" i="3"/>
  <c r="B15" i="3"/>
  <c r="D15" i="3" s="1"/>
  <c r="C14" i="3"/>
  <c r="B14" i="3"/>
  <c r="D14" i="3" s="1"/>
  <c r="C13" i="3"/>
  <c r="C12" i="3"/>
  <c r="B12" i="3" s="1"/>
  <c r="D12" i="3" s="1"/>
  <c r="G11" i="3"/>
  <c r="G12" i="3" s="1"/>
  <c r="G13" i="3" s="1"/>
  <c r="G14" i="3" s="1"/>
  <c r="G15" i="3" s="1"/>
  <c r="G16" i="3" s="1"/>
  <c r="G17" i="3" s="1"/>
  <c r="G18" i="3" s="1"/>
  <c r="G19" i="3" s="1"/>
  <c r="G20" i="3" s="1"/>
  <c r="C11" i="3"/>
  <c r="B11" i="3"/>
  <c r="D11" i="3" s="1"/>
  <c r="G10" i="3"/>
  <c r="C10" i="3"/>
  <c r="B10" i="3"/>
  <c r="D10" i="3" s="1"/>
  <c r="G9" i="3"/>
  <c r="D9" i="3"/>
  <c r="C9" i="3"/>
  <c r="B9" i="3"/>
  <c r="H16" i="3" l="1"/>
  <c r="H19" i="3"/>
  <c r="H20" i="3"/>
  <c r="E10" i="3"/>
  <c r="E11" i="3" s="1"/>
  <c r="E12" i="3" s="1"/>
  <c r="H10" i="3"/>
  <c r="H14" i="3"/>
  <c r="H12" i="3"/>
  <c r="H15" i="3"/>
  <c r="H18" i="3"/>
  <c r="H11" i="3"/>
  <c r="B13" i="3"/>
  <c r="D13" i="3" s="1"/>
  <c r="D21" i="3" s="1"/>
  <c r="D36" i="3" s="1"/>
  <c r="B17" i="3"/>
  <c r="D17" i="3" s="1"/>
  <c r="E9" i="3"/>
  <c r="H9" i="3"/>
  <c r="E133" i="1"/>
  <c r="H17" i="3" l="1"/>
  <c r="E17" i="3"/>
  <c r="E18" i="3" s="1"/>
  <c r="E19" i="3" s="1"/>
  <c r="E20" i="3" s="1"/>
  <c r="H21" i="3"/>
  <c r="D35" i="3" s="1"/>
  <c r="I9" i="3"/>
  <c r="I10" i="3" s="1"/>
  <c r="I11" i="3" s="1"/>
  <c r="I12" i="3" s="1"/>
  <c r="H13" i="3"/>
  <c r="E13" i="3"/>
  <c r="E14" i="3" s="1"/>
  <c r="E15" i="3" s="1"/>
  <c r="E16" i="3" s="1"/>
  <c r="B21" i="3"/>
  <c r="E140" i="1"/>
  <c r="I13" i="3" l="1"/>
  <c r="I14" i="3" s="1"/>
  <c r="I15" i="3" s="1"/>
  <c r="I16" i="3" s="1"/>
  <c r="I17" i="3" s="1"/>
  <c r="I18" i="3" s="1"/>
  <c r="I19" i="3" s="1"/>
  <c r="I20" i="3" s="1"/>
  <c r="G99" i="1"/>
  <c r="F99" i="1"/>
  <c r="G87" i="1"/>
  <c r="G93" i="1" s="1"/>
  <c r="G94" i="1" s="1"/>
  <c r="F87" i="1"/>
  <c r="F93" i="1" s="1"/>
  <c r="F94" i="1" s="1"/>
  <c r="F67" i="1"/>
  <c r="G67" i="1" s="1"/>
  <c r="G73" i="1" s="1"/>
  <c r="G76" i="1" s="1"/>
  <c r="G77" i="1" s="1"/>
  <c r="F53" i="1"/>
  <c r="G53" i="1" s="1"/>
  <c r="G58" i="1" s="1"/>
  <c r="G59" i="1" l="1"/>
  <c r="G81" i="1"/>
  <c r="G83" i="1" s="1"/>
  <c r="G92" i="1" s="1"/>
  <c r="F73" i="1"/>
  <c r="F76" i="1" s="1"/>
  <c r="F77" i="1" s="1"/>
  <c r="F58" i="1"/>
  <c r="E67" i="1"/>
  <c r="E53" i="1"/>
  <c r="G104" i="1" l="1"/>
  <c r="F59" i="1"/>
  <c r="F81" i="1"/>
  <c r="F83" i="1" s="1"/>
  <c r="E134" i="1"/>
  <c r="F92" i="1" l="1"/>
  <c r="F104" i="1"/>
  <c r="E135" i="1"/>
  <c r="F140" i="1" s="1"/>
  <c r="E99" i="1"/>
  <c r="E87" i="1"/>
  <c r="E93" i="1" s="1"/>
  <c r="E94" i="1" s="1"/>
  <c r="E73" i="1"/>
  <c r="E76" i="1" s="1"/>
  <c r="E77" i="1" s="1"/>
  <c r="E58" i="1"/>
  <c r="E81" i="1" s="1"/>
  <c r="E83" i="1" s="1"/>
  <c r="E92" i="1" s="1"/>
  <c r="G140" i="1" l="1"/>
  <c r="E104" i="1"/>
  <c r="E59" i="1"/>
</calcChain>
</file>

<file path=xl/sharedStrings.xml><?xml version="1.0" encoding="utf-8"?>
<sst xmlns="http://schemas.openxmlformats.org/spreadsheetml/2006/main" count="243" uniqueCount="126">
  <si>
    <t xml:space="preserve">Se presentan varias opciones de demanda a fin de verificar la capacidad del biodigestor y su capacidad maxima de atencion. </t>
  </si>
  <si>
    <t>5 hab/viv</t>
  </si>
  <si>
    <t>hab/dia</t>
  </si>
  <si>
    <t>1) Determinacion de contribucion de la demanda del biodigestor para aguas negras</t>
  </si>
  <si>
    <t>PR= 1.5 - 0.3 X Log (aporte)</t>
  </si>
  <si>
    <t>PR (dias)</t>
  </si>
  <si>
    <t>PR (horas)</t>
  </si>
  <si>
    <t>OK</t>
  </si>
  <si>
    <t>2) Determinacion del Tiempo de Retencion</t>
  </si>
  <si>
    <t>3) Volumen de digestion y Almacenamiento de lodos</t>
  </si>
  <si>
    <t xml:space="preserve">Para la opcion de limpieza anual del biodigestor, corresponde una taza de 57 l/h/año para una temperatura &gt;20°C </t>
  </si>
  <si>
    <t>4) Estimacion de Profundidad de Lodos Hd (m)</t>
  </si>
  <si>
    <t>Vd1</t>
  </si>
  <si>
    <t>Vd2</t>
  </si>
  <si>
    <t>Hd1</t>
  </si>
  <si>
    <t>Hd2</t>
  </si>
  <si>
    <t>Ac</t>
  </si>
  <si>
    <t>Dc</t>
  </si>
  <si>
    <r>
      <t xml:space="preserve">El tiempo minimo de retencion hidraulica debe ser 6 horas IS.020-6.2 </t>
    </r>
    <r>
      <rPr>
        <b/>
        <sz val="11"/>
        <color theme="1"/>
        <rFont val="Calibri"/>
        <family val="2"/>
        <scheme val="minor"/>
      </rPr>
      <t xml:space="preserve"> OK</t>
    </r>
  </si>
  <si>
    <t>Vd (m3)=</t>
  </si>
  <si>
    <t>57 x P x N / 1000</t>
  </si>
  <si>
    <t>Aporte, P</t>
  </si>
  <si>
    <t>N= limpieza anual = 1</t>
  </si>
  <si>
    <t>Vs (m3)=</t>
  </si>
  <si>
    <t>P x Q x PR/1000</t>
  </si>
  <si>
    <t>Volumen cono (m3)</t>
  </si>
  <si>
    <t>Altura Cono (m)</t>
  </si>
  <si>
    <t>Area Cilindro (m2)</t>
  </si>
  <si>
    <t>Diametro Cilindro (m)</t>
  </si>
  <si>
    <t>Altura Cilindro (m)</t>
  </si>
  <si>
    <t>Altura Total (m)</t>
  </si>
  <si>
    <t>Hd=Hd1+Hd2</t>
  </si>
  <si>
    <t>Hs (m)</t>
  </si>
  <si>
    <t>Vs/A</t>
  </si>
  <si>
    <t>Ho (m)</t>
  </si>
  <si>
    <t>0.82 - 0.26 x A</t>
  </si>
  <si>
    <t>Ho + 0.1; m</t>
  </si>
  <si>
    <t>Ho debe ser mayor de 0.3 m</t>
  </si>
  <si>
    <t>He (m)</t>
  </si>
  <si>
    <t>0,7/A</t>
  </si>
  <si>
    <t>Optado</t>
  </si>
  <si>
    <t>Valor Mayor, Hl, m</t>
  </si>
  <si>
    <t>Hte requerida, m = He+H1+Hd</t>
  </si>
  <si>
    <t>Area cilindro (m2)= 1.09 m2</t>
  </si>
  <si>
    <t>Profundidad Maxima de Natas= 0.7/A</t>
  </si>
  <si>
    <t>Diametro (m) = 1.178 m (IS-020-6.1.2 debe ser mayor a 1.10 m)</t>
  </si>
  <si>
    <t>H cono= 0.268 m</t>
  </si>
  <si>
    <t>Vol Cono= 0.1224 m3</t>
  </si>
  <si>
    <t>Volumen cono (m3) = 0.1224 m3</t>
  </si>
  <si>
    <t>Profundidad de lodos, Hd = Hd1+Hd2</t>
  </si>
  <si>
    <t>Profundidad Minima requerida para Sedimentacion</t>
  </si>
  <si>
    <t>Hl (m)</t>
  </si>
  <si>
    <t>Profundidad de espacio Libre</t>
  </si>
  <si>
    <t>IS-020-6.4.5</t>
  </si>
  <si>
    <t>IS-020-6.4.4</t>
  </si>
  <si>
    <t>IS-020-6.3.1.</t>
  </si>
  <si>
    <t>IS 020-6.3.2</t>
  </si>
  <si>
    <t>IS 020-6.4.1</t>
  </si>
  <si>
    <t>IS 020 -6.4.6</t>
  </si>
  <si>
    <t>Diametro Minimo</t>
  </si>
  <si>
    <t>m</t>
  </si>
  <si>
    <t>Profundidad Minima</t>
  </si>
  <si>
    <t>Profundidad de la descaga</t>
  </si>
  <si>
    <t>Profundidad Efectiva</t>
  </si>
  <si>
    <t>L/m2/dia</t>
  </si>
  <si>
    <t>Area Efectiva</t>
  </si>
  <si>
    <t>m2</t>
  </si>
  <si>
    <t>Volumen</t>
  </si>
  <si>
    <t>lps/dia</t>
  </si>
  <si>
    <t>Circuferencia Pozo</t>
  </si>
  <si>
    <t>ok</t>
  </si>
  <si>
    <t>Tipo de Suelo</t>
  </si>
  <si>
    <t>5) Volumen requerible para sedimentacion (Vs, en m3)</t>
  </si>
  <si>
    <t>6) Profundidad Libre de Lodo (Ho, m)</t>
  </si>
  <si>
    <t>7) Profundidad de espacio libre (Hl, m)</t>
  </si>
  <si>
    <t>8) Calculo de la profundidad maxima de la espuma sumergida, He, m</t>
  </si>
  <si>
    <t>9) Verificacion de Profundidad Total Efectiva; Hte</t>
  </si>
  <si>
    <t>MEMORIA DE CÁLCULO</t>
  </si>
  <si>
    <t>El uso del biodigestor es exclusivo para tratar las aguas negras evacuadas por la letrina de arrastre hidraulico, por lo que el aporte sera de orines y excretas de la poblacion a servir.</t>
  </si>
  <si>
    <t>hab/viv</t>
  </si>
  <si>
    <t>l/hab/dia</t>
  </si>
  <si>
    <t>NOTA:</t>
  </si>
  <si>
    <t xml:space="preserve">Para dicho efecto se ha tomado la diferencia de demanda diaria entre la opcion de letrina de hoyo seco y de la letrina de arrastre hidraulico y que reprenta el 80% de 30 lpd, es decir 24 lps. Otro criterio corresponde a que un habitante normal hace uso de la letrina tres veces al dia, una para defecar y dos para miccionar, y si el volumen del tanque del inodoro es 8 lps, se tendra un aporte diario de 24 l/diario. </t>
  </si>
  <si>
    <t>1) Datos Generales del Pozo Proyectado</t>
  </si>
  <si>
    <t>2)  Dimencionamiento del Pozo de Absorcion</t>
  </si>
  <si>
    <t>Coeficiente de Infiltración</t>
  </si>
  <si>
    <t>10 hab/viv</t>
  </si>
  <si>
    <t>30 Alumnos</t>
  </si>
  <si>
    <t>&gt;120 lpd</t>
  </si>
  <si>
    <t>1 viv.</t>
  </si>
  <si>
    <t>Arcilla y limo promedio</t>
  </si>
  <si>
    <t>DATOS DEL BIODIGESTOR DE 600 LITROS</t>
  </si>
  <si>
    <t>Hte, biodigestor de 600 l</t>
  </si>
  <si>
    <t>Profundidad de Pozo</t>
  </si>
  <si>
    <t xml:space="preserve">Se puede apreciar que la capacidad del biodigestor y su respectivo pozo de percolación proyectados garantizan el tratamiento adecuado de las aguas residuales de cada modulo de letrina con arrastre hidraulico a instalar en cada vivienda. Pudiendo utilizarse un biodigestor y pozo percolador para dos viviendas, y/o ampliarse el servicio para aguas grises. </t>
  </si>
  <si>
    <t>Diametro exterior= 1.21 m; Alto exterior= 1.56 m</t>
  </si>
  <si>
    <t>Profundidad Total Efectiva= Hte= He+Hl+Hd = 1.242 m</t>
  </si>
  <si>
    <t>A) CÁLCULO DEL BIODIGESTOR - LOCALIDAD DE CHURAMPI</t>
  </si>
  <si>
    <t>cm/min</t>
  </si>
  <si>
    <t>Para Profundidad de 1.50 m y del resultado del test de percolación se tiene:</t>
  </si>
  <si>
    <t>RESULTADO DEL TEST DE PERCOLACION</t>
  </si>
  <si>
    <t>Medicion</t>
  </si>
  <si>
    <t>Tiempo de Percolacion (seg)</t>
  </si>
  <si>
    <t>Tiempo de Percolacion (Min)</t>
  </si>
  <si>
    <t>Lamina de Percolacion (cm)</t>
  </si>
  <si>
    <t>Velocidad de Percolacion (cm/min)</t>
  </si>
  <si>
    <t>Parcial</t>
  </si>
  <si>
    <t>Acumulada</t>
  </si>
  <si>
    <t>Instantanea</t>
  </si>
  <si>
    <t>PROMEDIO</t>
  </si>
  <si>
    <t>RESULTADOS:</t>
  </si>
  <si>
    <t>Para la interpretacion de resultados, se evaluara en funcion a la velocidad de infiltracion (Cuadro N° 01):</t>
  </si>
  <si>
    <t>Cuadro N° 01</t>
  </si>
  <si>
    <t>Velocidad de percolacion:</t>
  </si>
  <si>
    <t>Tiempo de infiltración para 1cm:</t>
  </si>
  <si>
    <t>minutos</t>
  </si>
  <si>
    <t>El terreno es de percolacion rapida, apta para la utilizacion de pozos percoladores a la atura de 1.60 m.</t>
  </si>
  <si>
    <t>REPORTE FOTOGRAFICO:</t>
  </si>
  <si>
    <t>DISEÑO DE BIODIGESTOR Y POZO DE PERCOLACIÓN PARA UBS CON ARRASTRE HIDRAULICO</t>
  </si>
  <si>
    <t>PROYECTO: "AMPLIACIÓN Y MEJORAMIENTO DEL SISTEMA DE AGUA POTABLE Y CONSTRUCCION DE ALCANTARILLADO DE LA LOCALIDAD DE YANABAMBA, DISTRITO DE SANTO DOMINGO DE ACOBAMBA - HUANCAYO – JUNÍN"</t>
  </si>
  <si>
    <t>Para efecto de dimencionamiento de biodigestor, se ha tomado el BIODIGESTOR de 1600 litros, el cual cumple con el diametro interno minimo de 1.10 m, exigido por la norma IS-020 6.1.2</t>
  </si>
  <si>
    <t>B) CALCULO DEL POZO DE INFILTRACIÓN O PERCOLADOR -  LOCALIDAD DE YANABAMBA</t>
  </si>
  <si>
    <t>Las manzanas aledañas a donde se realizo la calicata para el Test de Percolacion, tiene caracteristicas similares de suelo.</t>
  </si>
  <si>
    <t>Para la interpretacion de resultados, se evaluara en funcion al tiempo de infiltración para el descenso de 1 cm (Cuadro N° 01):</t>
  </si>
  <si>
    <t>El terreno es de percolacion rapida, apta para la utilizacion de pozos percoladores a la atura de 1.50 m.</t>
  </si>
  <si>
    <t>Velocidad de infiltración (Crítico)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</si>
</sst>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0.000"/>
    <numFmt numFmtId="165" formatCode="0#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u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8">
    <xf numFmtId="0" fontId="0" fillId="0" borderId="0" xfId="0"/>
    <xf numFmtId="0" fontId="5" fillId="2" borderId="0" xfId="0" applyFont="1" applyFill="1"/>
    <xf numFmtId="0" fontId="9" fillId="2" borderId="0" xfId="0" applyFont="1" applyFill="1"/>
    <xf numFmtId="0" fontId="6" fillId="2" borderId="0" xfId="0" applyFont="1" applyFill="1"/>
    <xf numFmtId="0" fontId="1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6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/>
    <xf numFmtId="0" fontId="0" fillId="2" borderId="0" xfId="0" applyFill="1" applyBorder="1"/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/>
    <xf numFmtId="2" fontId="0" fillId="2" borderId="0" xfId="0" applyNumberFormat="1" applyFill="1" applyBorder="1"/>
    <xf numFmtId="2" fontId="1" fillId="2" borderId="4" xfId="0" applyNumberFormat="1" applyFont="1" applyFill="1" applyBorder="1"/>
    <xf numFmtId="2" fontId="1" fillId="2" borderId="0" xfId="0" applyNumberFormat="1" applyFont="1" applyFill="1" applyBorder="1"/>
    <xf numFmtId="2" fontId="0" fillId="2" borderId="4" xfId="0" applyNumberFormat="1" applyFont="1" applyFill="1" applyBorder="1"/>
    <xf numFmtId="2" fontId="1" fillId="2" borderId="4" xfId="0" applyNumberFormat="1" applyFont="1" applyFill="1" applyBorder="1" applyAlignment="1">
      <alignment horizontal="center"/>
    </xf>
    <xf numFmtId="2" fontId="0" fillId="2" borderId="0" xfId="0" applyNumberFormat="1" applyFont="1" applyFill="1" applyBorder="1"/>
    <xf numFmtId="2" fontId="0" fillId="2" borderId="0" xfId="0" applyNumberFormat="1" applyFill="1"/>
    <xf numFmtId="43" fontId="0" fillId="2" borderId="0" xfId="1" applyFont="1" applyFill="1"/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/>
    <xf numFmtId="164" fontId="5" fillId="2" borderId="4" xfId="0" applyNumberFormat="1" applyFont="1" applyFill="1" applyBorder="1" applyAlignment="1">
      <alignment horizontal="center"/>
    </xf>
    <xf numFmtId="43" fontId="0" fillId="2" borderId="4" xfId="0" applyNumberFormat="1" applyFill="1" applyBorder="1" applyAlignment="1">
      <alignment horizontal="center" vertical="center"/>
    </xf>
    <xf numFmtId="0" fontId="4" fillId="2" borderId="0" xfId="0" applyFont="1" applyFill="1"/>
    <xf numFmtId="0" fontId="0" fillId="2" borderId="0" xfId="0" applyFill="1" applyBorder="1" applyAlignment="1">
      <alignment horizontal="center"/>
    </xf>
    <xf numFmtId="43" fontId="0" fillId="2" borderId="0" xfId="0" applyNumberFormat="1" applyFill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/>
    </xf>
    <xf numFmtId="0" fontId="7" fillId="2" borderId="0" xfId="0" applyFont="1" applyFill="1"/>
    <xf numFmtId="0" fontId="5" fillId="2" borderId="0" xfId="0" applyFont="1" applyFill="1" applyBorder="1"/>
    <xf numFmtId="0" fontId="8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65" fontId="0" fillId="0" borderId="16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165" fontId="0" fillId="0" borderId="19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23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0" fontId="1" fillId="0" borderId="25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0" fontId="12" fillId="0" borderId="0" xfId="0" applyFont="1"/>
    <xf numFmtId="2" fontId="0" fillId="0" borderId="0" xfId="0" applyNumberFormat="1"/>
    <xf numFmtId="0" fontId="0" fillId="0" borderId="0" xfId="0" applyAlignment="1">
      <alignment horizontal="left" indent="1"/>
    </xf>
    <xf numFmtId="0" fontId="11" fillId="0" borderId="0" xfId="0" applyFont="1" applyAlignment="1">
      <alignment horizontal="left" indent="1"/>
    </xf>
    <xf numFmtId="2" fontId="1" fillId="0" borderId="0" xfId="0" applyNumberFormat="1" applyFont="1"/>
    <xf numFmtId="0" fontId="13" fillId="0" borderId="0" xfId="0" applyFont="1" applyAlignment="1">
      <alignment horizontal="left" indent="1"/>
    </xf>
    <xf numFmtId="0" fontId="0" fillId="0" borderId="0" xfId="0" applyAlignment="1">
      <alignment vertical="center"/>
    </xf>
    <xf numFmtId="2" fontId="1" fillId="3" borderId="28" xfId="0" applyNumberFormat="1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ill="1" applyAlignment="1">
      <alignment horizontal="justify" vertical="center" wrapText="1"/>
    </xf>
    <xf numFmtId="0" fontId="8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wrapText="1"/>
    </xf>
    <xf numFmtId="0" fontId="2" fillId="2" borderId="0" xfId="0" applyFont="1" applyFill="1" applyAlignment="1">
      <alignment horizontal="justify" wrapText="1"/>
    </xf>
    <xf numFmtId="0" fontId="10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109354</xdr:colOff>
      <xdr:row>33</xdr:row>
      <xdr:rowOff>38100</xdr:rowOff>
    </xdr:from>
    <xdr:to>
      <xdr:col>4</xdr:col>
      <xdr:colOff>695325</xdr:colOff>
      <xdr:row>49</xdr:row>
      <xdr:rowOff>19050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4633" t="8380" r="8106" b="4469"/>
        <a:stretch>
          <a:fillRect/>
        </a:stretch>
      </xdr:blipFill>
      <xdr:spPr bwMode="auto">
        <a:xfrm>
          <a:off x="109354" y="2085975"/>
          <a:ext cx="3291071" cy="3028950"/>
        </a:xfrm>
        <a:prstGeom prst="rect">
          <a:avLst/>
        </a:prstGeom>
        <a:noFill/>
      </xdr:spPr>
    </xdr:pic>
    <xdr:clientData/>
  </xdr:twoCellAnchor>
  <xdr:twoCellAnchor>
    <xdr:from>
      <xdr:col>6</xdr:col>
      <xdr:colOff>642938</xdr:colOff>
      <xdr:row>43</xdr:row>
      <xdr:rowOff>84138</xdr:rowOff>
    </xdr:from>
    <xdr:to>
      <xdr:col>6</xdr:col>
      <xdr:colOff>653259</xdr:colOff>
      <xdr:row>48</xdr:row>
      <xdr:rowOff>7147</xdr:rowOff>
    </xdr:to>
    <xdr:cxnSp macro="">
      <xdr:nvCxnSpPr>
        <xdr:cNvPr id="8" name="7 Conector recto de flecha"/>
        <xdr:cNvCxnSpPr/>
      </xdr:nvCxnSpPr>
      <xdr:spPr>
        <a:xfrm rot="5400000">
          <a:off x="4520407" y="9101138"/>
          <a:ext cx="875509" cy="10321"/>
        </a:xfrm>
        <a:prstGeom prst="straightConnector1">
          <a:avLst/>
        </a:prstGeom>
        <a:ln>
          <a:solidFill>
            <a:schemeClr val="tx2">
              <a:lumMod val="50000"/>
            </a:schemeClr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335107</xdr:colOff>
      <xdr:row>4</xdr:row>
      <xdr:rowOff>77931</xdr:rowOff>
    </xdr:from>
    <xdr:to>
      <xdr:col>7</xdr:col>
      <xdr:colOff>228600</xdr:colOff>
      <xdr:row>26</xdr:row>
      <xdr:rowOff>30127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957" y="1201881"/>
          <a:ext cx="3884468" cy="39431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657223</xdr:colOff>
      <xdr:row>111</xdr:row>
      <xdr:rowOff>85725</xdr:rowOff>
    </xdr:from>
    <xdr:to>
      <xdr:col>7</xdr:col>
      <xdr:colOff>114299</xdr:colOff>
      <xdr:row>126</xdr:row>
      <xdr:rowOff>27714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8935" t="23836" r="40299" b="31748"/>
        <a:stretch/>
      </xdr:blipFill>
      <xdr:spPr>
        <a:xfrm>
          <a:off x="1743073" y="22288500"/>
          <a:ext cx="3448051" cy="27994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800101</xdr:colOff>
      <xdr:row>27</xdr:row>
      <xdr:rowOff>91906</xdr:rowOff>
    </xdr:from>
    <xdr:to>
      <xdr:col>4</xdr:col>
      <xdr:colOff>548604</xdr:colOff>
      <xdr:row>33</xdr:row>
      <xdr:rowOff>161925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125" t="44927" r="24807" b="12749"/>
        <a:stretch/>
      </xdr:blipFill>
      <xdr:spPr>
        <a:xfrm>
          <a:off x="800101" y="5349706"/>
          <a:ext cx="2833617" cy="1213019"/>
        </a:xfrm>
        <a:prstGeom prst="rect">
          <a:avLst/>
        </a:prstGeom>
      </xdr:spPr>
    </xdr:pic>
    <xdr:clientData/>
  </xdr:twoCellAnchor>
  <xdr:twoCellAnchor>
    <xdr:from>
      <xdr:col>1</xdr:col>
      <xdr:colOff>433553</xdr:colOff>
      <xdr:row>54</xdr:row>
      <xdr:rowOff>32845</xdr:rowOff>
    </xdr:from>
    <xdr:to>
      <xdr:col>5</xdr:col>
      <xdr:colOff>336177</xdr:colOff>
      <xdr:row>57</xdr:row>
      <xdr:rowOff>100853</xdr:rowOff>
    </xdr:to>
    <xdr:sp macro="" textlink="">
      <xdr:nvSpPr>
        <xdr:cNvPr id="5" name="4 CuadroTexto"/>
        <xdr:cNvSpPr txBox="1"/>
      </xdr:nvSpPr>
      <xdr:spPr>
        <a:xfrm>
          <a:off x="1110156" y="10424948"/>
          <a:ext cx="2950624" cy="63950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Mediciones</a:t>
          </a:r>
          <a:r>
            <a:rPr lang="es-PE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cronometradas del tiempo por cada 2.50 cm de decenso de agua.</a:t>
          </a:r>
          <a:endParaRPr lang="es-PE" sz="1100" b="1" i="1"/>
        </a:p>
      </xdr:txBody>
    </xdr:sp>
    <xdr:clientData/>
  </xdr:twoCellAnchor>
  <xdr:twoCellAnchor editAs="oneCell">
    <xdr:from>
      <xdr:col>1</xdr:col>
      <xdr:colOff>521138</xdr:colOff>
      <xdr:row>41</xdr:row>
      <xdr:rowOff>29560</xdr:rowOff>
    </xdr:from>
    <xdr:to>
      <xdr:col>5</xdr:col>
      <xdr:colOff>571500</xdr:colOff>
      <xdr:row>53</xdr:row>
      <xdr:rowOff>31750</xdr:rowOff>
    </xdr:to>
    <xdr:pic>
      <xdr:nvPicPr>
        <xdr:cNvPr id="9" name="10 Imagen" descr="G:\MARCO P. D\PROYECTOS VARIOS\SANEAMIENTO\AGUA Y DESAGUE PICHANAKI\TEST DE PERCOLACION\+FOTOS\DSC08584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763" y="7982935"/>
          <a:ext cx="3098362" cy="2288190"/>
        </a:xfrm>
        <a:prstGeom prst="rect">
          <a:avLst/>
        </a:prstGeom>
        <a:ln w="28575" cap="sq">
          <a:solidFill>
            <a:srgbClr val="000000"/>
          </a:solidFill>
          <a:miter lim="800000"/>
        </a:ln>
        <a:effectLst>
          <a:outerShdw blurRad="57150" dist="50800" dir="2700000" algn="tl" rotWithShape="0">
            <a:srgbClr val="000000">
              <a:alpha val="40000"/>
            </a:srgb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712305</xdr:colOff>
      <xdr:row>27</xdr:row>
      <xdr:rowOff>57978</xdr:rowOff>
    </xdr:from>
    <xdr:to>
      <xdr:col>4</xdr:col>
      <xdr:colOff>74129</xdr:colOff>
      <xdr:row>33</xdr:row>
      <xdr:rowOff>127997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125" t="44927" r="24807" b="12749"/>
        <a:stretch/>
      </xdr:blipFill>
      <xdr:spPr>
        <a:xfrm>
          <a:off x="712305" y="5506278"/>
          <a:ext cx="2981324" cy="1213019"/>
        </a:xfrm>
        <a:prstGeom prst="rect">
          <a:avLst/>
        </a:prstGeom>
      </xdr:spPr>
    </xdr:pic>
    <xdr:clientData/>
  </xdr:twoCellAnchor>
  <xdr:twoCellAnchor>
    <xdr:from>
      <xdr:col>5</xdr:col>
      <xdr:colOff>464508</xdr:colOff>
      <xdr:row>46</xdr:row>
      <xdr:rowOff>153474</xdr:rowOff>
    </xdr:from>
    <xdr:to>
      <xdr:col>7</xdr:col>
      <xdr:colOff>280635</xdr:colOff>
      <xdr:row>51</xdr:row>
      <xdr:rowOff>4385</xdr:rowOff>
    </xdr:to>
    <xdr:sp macro="" textlink="">
      <xdr:nvSpPr>
        <xdr:cNvPr id="5" name="4 CuadroTexto"/>
        <xdr:cNvSpPr txBox="1"/>
      </xdr:nvSpPr>
      <xdr:spPr>
        <a:xfrm>
          <a:off x="4879626" y="9039739"/>
          <a:ext cx="1384950" cy="8034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Mediciones</a:t>
          </a:r>
          <a:r>
            <a:rPr lang="es-PE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del tiempo por cada 2.50 cm de decenso de agua.</a:t>
          </a:r>
          <a:endParaRPr lang="es-PE">
            <a:effectLst/>
          </a:endParaRPr>
        </a:p>
      </xdr:txBody>
    </xdr:sp>
    <xdr:clientData/>
  </xdr:twoCellAnchor>
  <xdr:twoCellAnchor editAs="oneCell">
    <xdr:from>
      <xdr:col>2</xdr:col>
      <xdr:colOff>145677</xdr:colOff>
      <xdr:row>42</xdr:row>
      <xdr:rowOff>89647</xdr:rowOff>
    </xdr:from>
    <xdr:to>
      <xdr:col>4</xdr:col>
      <xdr:colOff>376443</xdr:colOff>
      <xdr:row>55</xdr:row>
      <xdr:rowOff>12177</xdr:rowOff>
    </xdr:to>
    <xdr:pic>
      <xdr:nvPicPr>
        <xdr:cNvPr id="9" name="10 Imagen" descr="G:\MARCO P. D\PROYECTOS VARIOS\SANEAMIENTO\AGUA Y DESAGUE PICHANAKI\TEST DE PERCOLACION\DSC08602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559" y="8213912"/>
          <a:ext cx="1799590" cy="2399030"/>
        </a:xfrm>
        <a:prstGeom prst="rect">
          <a:avLst/>
        </a:prstGeom>
        <a:ln w="38100" cap="sq" cmpd="sng" algn="ctr">
          <a:solidFill>
            <a:srgbClr val="000000"/>
          </a:solidFill>
          <a:prstDash val="solid"/>
          <a:miter lim="800000"/>
          <a:headEnd type="none" w="med" len="med"/>
          <a:tailEnd type="none" w="med" len="med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712305</xdr:colOff>
      <xdr:row>27</xdr:row>
      <xdr:rowOff>57978</xdr:rowOff>
    </xdr:from>
    <xdr:to>
      <xdr:col>4</xdr:col>
      <xdr:colOff>645629</xdr:colOff>
      <xdr:row>33</xdr:row>
      <xdr:rowOff>127997</xdr:rowOff>
    </xdr:to>
    <xdr:pic>
      <xdr:nvPicPr>
        <xdr:cNvPr id="2" name="2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125" t="44927" r="24807" b="12749"/>
        <a:stretch/>
      </xdr:blipFill>
      <xdr:spPr>
        <a:xfrm>
          <a:off x="712305" y="5534853"/>
          <a:ext cx="3552824" cy="1213019"/>
        </a:xfrm>
        <a:prstGeom prst="rect">
          <a:avLst/>
        </a:prstGeom>
      </xdr:spPr>
    </xdr:pic>
    <xdr:clientData/>
  </xdr:twoCellAnchor>
  <xdr:twoCellAnchor>
    <xdr:from>
      <xdr:col>5</xdr:col>
      <xdr:colOff>201222</xdr:colOff>
      <xdr:row>43</xdr:row>
      <xdr:rowOff>156394</xdr:rowOff>
    </xdr:from>
    <xdr:to>
      <xdr:col>8</xdr:col>
      <xdr:colOff>100368</xdr:colOff>
      <xdr:row>46</xdr:row>
      <xdr:rowOff>61144</xdr:rowOff>
    </xdr:to>
    <xdr:sp macro="" textlink="">
      <xdr:nvSpPr>
        <xdr:cNvPr id="3" name="6 CuadroTexto"/>
        <xdr:cNvSpPr txBox="1"/>
      </xdr:nvSpPr>
      <xdr:spPr>
        <a:xfrm>
          <a:off x="4616340" y="8515982"/>
          <a:ext cx="2252381" cy="476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b="1" i="1" baseline="0"/>
            <a:t>Calicata N° 03, 1.50 m de profundidad y 1.50 m de diametro.</a:t>
          </a:r>
          <a:endParaRPr lang="es-PE" sz="1100" b="1" i="1"/>
        </a:p>
      </xdr:txBody>
    </xdr:sp>
    <xdr:clientData/>
  </xdr:twoCellAnchor>
  <xdr:twoCellAnchor editAs="oneCell">
    <xdr:from>
      <xdr:col>2</xdr:col>
      <xdr:colOff>35128</xdr:colOff>
      <xdr:row>40</xdr:row>
      <xdr:rowOff>167358</xdr:rowOff>
    </xdr:from>
    <xdr:to>
      <xdr:col>4</xdr:col>
      <xdr:colOff>633734</xdr:colOff>
      <xdr:row>49</xdr:row>
      <xdr:rowOff>72743</xdr:rowOff>
    </xdr:to>
    <xdr:pic>
      <xdr:nvPicPr>
        <xdr:cNvPr id="8" name="11 Imagen" descr="G:\MARCO P. D\PROYECTOS VARIOS\SANEAMIENTO\AGUA Y DESAGUE PICHANAKI\TEST DE PERCOLACION\FOTOS TEST\DSC08532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010" y="7955446"/>
          <a:ext cx="2167430" cy="161988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800101</xdr:colOff>
      <xdr:row>27</xdr:row>
      <xdr:rowOff>91906</xdr:rowOff>
    </xdr:from>
    <xdr:to>
      <xdr:col>5</xdr:col>
      <xdr:colOff>266700</xdr:colOff>
      <xdr:row>33</xdr:row>
      <xdr:rowOff>161925</xdr:rowOff>
    </xdr:to>
    <xdr:pic>
      <xdr:nvPicPr>
        <xdr:cNvPr id="9" name="2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125" t="44927" r="24807" b="12749"/>
        <a:stretch/>
      </xdr:blipFill>
      <xdr:spPr>
        <a:xfrm>
          <a:off x="800101" y="5349706"/>
          <a:ext cx="3571874" cy="1213019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40</xdr:row>
      <xdr:rowOff>38100</xdr:rowOff>
    </xdr:from>
    <xdr:to>
      <xdr:col>4</xdr:col>
      <xdr:colOff>675640</xdr:colOff>
      <xdr:row>52</xdr:row>
      <xdr:rowOff>151130</xdr:rowOff>
    </xdr:to>
    <xdr:pic>
      <xdr:nvPicPr>
        <xdr:cNvPr id="13" name="5 Imagen" descr="G:\MARCO P. D\PROYECTOS VARIOS\SANEAMIENTO\AGUA Y DESAGUE PICHANAKI\TEST DE PERCOLACION\DSC08607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772400"/>
          <a:ext cx="1799590" cy="2399030"/>
        </a:xfrm>
        <a:prstGeom prst="rect">
          <a:avLst/>
        </a:prstGeom>
        <a:ln w="38100" cap="sq" cmpd="sng" algn="ctr">
          <a:solidFill>
            <a:srgbClr val="000000"/>
          </a:solidFill>
          <a:prstDash val="solid"/>
          <a:miter lim="800000"/>
          <a:headEnd type="none" w="med" len="med"/>
          <a:tailEnd type="none" w="med" len="med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5</xdr:col>
      <xdr:colOff>457200</xdr:colOff>
      <xdr:row>43</xdr:row>
      <xdr:rowOff>47625</xdr:rowOff>
    </xdr:from>
    <xdr:to>
      <xdr:col>7</xdr:col>
      <xdr:colOff>47625</xdr:colOff>
      <xdr:row>50</xdr:row>
      <xdr:rowOff>38099</xdr:rowOff>
    </xdr:to>
    <xdr:sp macro="" textlink="">
      <xdr:nvSpPr>
        <xdr:cNvPr id="17" name="12 CuadroTexto"/>
        <xdr:cNvSpPr txBox="1"/>
      </xdr:nvSpPr>
      <xdr:spPr>
        <a:xfrm>
          <a:off x="4562475" y="8353425"/>
          <a:ext cx="1114425" cy="1323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Verificacion de los estratos del suelo que varian de color negro claro a</a:t>
          </a:r>
          <a:r>
            <a:rPr lang="es-PE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marron claro.</a:t>
          </a:r>
          <a:endParaRPr lang="es-PE" sz="1100" b="1" i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"/>
  <sheetViews>
    <sheetView tabSelected="1" view="pageBreakPreview" topLeftCell="A115" zoomScaleNormal="82" zoomScaleSheetLayoutView="100" workbookViewId="0">
      <selection activeCell="I134" sqref="I134"/>
    </sheetView>
  </sheetViews>
  <sheetFormatPr baseColWidth="10" defaultRowHeight="15" x14ac:dyDescent="0.25"/>
  <cols>
    <col min="1" max="1" width="4.85546875" style="5" customWidth="1"/>
    <col min="2" max="3" width="11.42578125" style="5"/>
    <col min="4" max="4" width="12.85546875" style="5" customWidth="1"/>
    <col min="5" max="5" width="12.7109375" style="5" customWidth="1"/>
    <col min="6" max="7" width="11.42578125" style="5"/>
    <col min="8" max="8" width="10.85546875" style="5" customWidth="1"/>
    <col min="9" max="9" width="11.42578125" style="5"/>
    <col min="10" max="10" width="8.85546875" style="5" customWidth="1"/>
    <col min="11" max="16384" width="11.42578125" style="5"/>
  </cols>
  <sheetData>
    <row r="1" spans="1:10" s="1" customFormat="1" ht="23.25" customHeight="1" x14ac:dyDescent="0.2">
      <c r="A1" s="62" t="s">
        <v>77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s="1" customFormat="1" ht="15" customHeight="1" x14ac:dyDescent="0.2">
      <c r="A2" s="64" t="s">
        <v>118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s="3" customFormat="1" ht="45.75" customHeight="1" x14ac:dyDescent="0.2">
      <c r="A3" s="64" t="s">
        <v>119</v>
      </c>
      <c r="B3" s="64"/>
      <c r="C3" s="64"/>
      <c r="D3" s="64"/>
      <c r="E3" s="64"/>
      <c r="F3" s="64"/>
      <c r="G3" s="64"/>
      <c r="H3" s="64"/>
      <c r="I3" s="64"/>
      <c r="J3" s="64"/>
    </row>
    <row r="4" spans="1:10" s="3" customFormat="1" ht="5.0999999999999996" customHeight="1" x14ac:dyDescent="0.2">
      <c r="A4" s="35"/>
      <c r="B4" s="35"/>
      <c r="C4" s="35"/>
      <c r="D4" s="35"/>
      <c r="E4" s="35"/>
      <c r="F4" s="35"/>
      <c r="G4" s="35"/>
      <c r="H4" s="35"/>
      <c r="I4" s="35"/>
      <c r="J4" s="35"/>
    </row>
    <row r="6" spans="1:10" s="1" customFormat="1" ht="14.25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s="1" customFormat="1" ht="14.25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s="1" customFormat="1" ht="14.25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s="1" customFormat="1" ht="14.25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s="1" customFormat="1" ht="14.25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s="1" customFormat="1" ht="14.25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s="1" customFormat="1" ht="14.25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s="1" customFormat="1" ht="14.2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s="1" customFormat="1" ht="14.25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s="1" customFormat="1" ht="14.25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s="1" customFormat="1" ht="14.25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s="1" customFormat="1" ht="14.25" x14ac:dyDescent="0.2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s="1" customFormat="1" ht="14.25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s="1" customFormat="1" ht="14.2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s="1" customFormat="1" ht="14.2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4.2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s="1" customFormat="1" ht="14.2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s="1" customFormat="1" ht="14.2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s="1" customFormat="1" ht="14.2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4.2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s="1" customFormat="1" ht="14.2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4" t="s">
        <v>97</v>
      </c>
    </row>
    <row r="28" spans="1:10" ht="30" customHeight="1" x14ac:dyDescent="0.25">
      <c r="A28" s="65" t="s">
        <v>120</v>
      </c>
      <c r="B28" s="65"/>
      <c r="C28" s="65"/>
      <c r="D28" s="65"/>
      <c r="E28" s="65"/>
      <c r="F28" s="65"/>
      <c r="G28" s="65"/>
      <c r="H28" s="65"/>
      <c r="I28" s="65"/>
      <c r="J28" s="65"/>
    </row>
    <row r="29" spans="1:10" ht="26.25" customHeight="1" x14ac:dyDescent="0.25">
      <c r="A29" s="65" t="s">
        <v>78</v>
      </c>
      <c r="B29" s="65"/>
      <c r="C29" s="65"/>
      <c r="D29" s="65"/>
      <c r="E29" s="65"/>
      <c r="F29" s="65"/>
      <c r="G29" s="65"/>
      <c r="H29" s="65"/>
      <c r="I29" s="65"/>
      <c r="J29" s="65"/>
    </row>
    <row r="30" spans="1:10" x14ac:dyDescent="0.25">
      <c r="A30" s="5" t="s">
        <v>0</v>
      </c>
    </row>
    <row r="32" spans="1:10" x14ac:dyDescent="0.25">
      <c r="A32" s="4" t="s">
        <v>91</v>
      </c>
      <c r="F32" s="5" t="s">
        <v>95</v>
      </c>
    </row>
    <row r="33" spans="6:8" x14ac:dyDescent="0.25">
      <c r="F33" s="5" t="s">
        <v>45</v>
      </c>
    </row>
    <row r="34" spans="6:8" x14ac:dyDescent="0.25">
      <c r="F34" s="5" t="s">
        <v>43</v>
      </c>
    </row>
    <row r="35" spans="6:8" x14ac:dyDescent="0.25">
      <c r="F35" s="5" t="s">
        <v>48</v>
      </c>
    </row>
    <row r="36" spans="6:8" x14ac:dyDescent="0.25">
      <c r="F36" s="5" t="s">
        <v>96</v>
      </c>
    </row>
    <row r="38" spans="6:8" x14ac:dyDescent="0.25">
      <c r="F38" s="5" t="s">
        <v>44</v>
      </c>
    </row>
    <row r="40" spans="6:8" x14ac:dyDescent="0.25">
      <c r="F40" s="5" t="s">
        <v>52</v>
      </c>
    </row>
    <row r="42" spans="6:8" x14ac:dyDescent="0.25">
      <c r="F42" s="5" t="s">
        <v>50</v>
      </c>
    </row>
    <row r="45" spans="6:8" x14ac:dyDescent="0.25">
      <c r="H45" s="5" t="s">
        <v>49</v>
      </c>
    </row>
    <row r="46" spans="6:8" x14ac:dyDescent="0.25">
      <c r="F46" s="5" t="s">
        <v>47</v>
      </c>
    </row>
    <row r="47" spans="6:8" x14ac:dyDescent="0.25">
      <c r="F47" s="5" t="s">
        <v>46</v>
      </c>
    </row>
    <row r="51" spans="1:10" ht="15.75" thickBot="1" x14ac:dyDescent="0.3">
      <c r="A51" s="4" t="s">
        <v>3</v>
      </c>
    </row>
    <row r="52" spans="1:10" ht="15.75" thickBot="1" x14ac:dyDescent="0.3">
      <c r="B52" s="6"/>
      <c r="C52" s="7"/>
      <c r="D52" s="8" t="s">
        <v>2</v>
      </c>
      <c r="E52" s="9" t="s">
        <v>1</v>
      </c>
      <c r="F52" s="10" t="s">
        <v>86</v>
      </c>
      <c r="G52" s="10" t="s">
        <v>87</v>
      </c>
    </row>
    <row r="53" spans="1:10" ht="15.75" thickBot="1" x14ac:dyDescent="0.3">
      <c r="B53" s="6" t="s">
        <v>21</v>
      </c>
      <c r="C53" s="7" t="s">
        <v>80</v>
      </c>
      <c r="D53" s="11">
        <v>24</v>
      </c>
      <c r="E53" s="10">
        <f>+D53*5</f>
        <v>120</v>
      </c>
      <c r="F53" s="12">
        <f>+D53*10</f>
        <v>240</v>
      </c>
      <c r="G53" s="12">
        <f>+F53</f>
        <v>240</v>
      </c>
    </row>
    <row r="54" spans="1:10" ht="57" customHeight="1" x14ac:dyDescent="0.25">
      <c r="A54" s="66" t="s">
        <v>82</v>
      </c>
      <c r="B54" s="66"/>
      <c r="C54" s="66"/>
      <c r="D54" s="66"/>
      <c r="E54" s="66"/>
      <c r="F54" s="66"/>
      <c r="G54" s="66"/>
      <c r="H54" s="66"/>
      <c r="I54" s="66"/>
      <c r="J54" s="66"/>
    </row>
    <row r="55" spans="1:10" x14ac:dyDescent="0.25">
      <c r="B55" s="13"/>
    </row>
    <row r="56" spans="1:10" x14ac:dyDescent="0.25">
      <c r="A56" s="4" t="s">
        <v>8</v>
      </c>
    </row>
    <row r="57" spans="1:10" x14ac:dyDescent="0.25">
      <c r="B57" s="5" t="s">
        <v>4</v>
      </c>
      <c r="E57" s="14" t="s">
        <v>79</v>
      </c>
      <c r="F57" s="14" t="s">
        <v>86</v>
      </c>
      <c r="G57" s="14" t="s">
        <v>87</v>
      </c>
    </row>
    <row r="58" spans="1:10" x14ac:dyDescent="0.25">
      <c r="D58" s="5" t="s">
        <v>5</v>
      </c>
      <c r="E58" s="15">
        <f>1.5-0.3*LOG10(E53)</f>
        <v>0.87624562618571267</v>
      </c>
      <c r="F58" s="16">
        <f>1.5-0.3*LOG10(F53)</f>
        <v>0.78593662748651827</v>
      </c>
      <c r="G58" s="16">
        <f>1.5-0.3*LOG10(G53)</f>
        <v>0.78593662748651827</v>
      </c>
    </row>
    <row r="59" spans="1:10" x14ac:dyDescent="0.25">
      <c r="D59" s="5" t="s">
        <v>6</v>
      </c>
      <c r="E59" s="15">
        <f>+E58*24</f>
        <v>21.029895028457105</v>
      </c>
      <c r="F59" s="16">
        <f>+F58*24</f>
        <v>18.862479059676438</v>
      </c>
      <c r="G59" s="16">
        <f>+G58*24</f>
        <v>18.862479059676438</v>
      </c>
    </row>
    <row r="60" spans="1:10" x14ac:dyDescent="0.25">
      <c r="E60" s="32"/>
      <c r="F60" s="17"/>
      <c r="G60" s="17"/>
    </row>
    <row r="61" spans="1:10" x14ac:dyDescent="0.25">
      <c r="B61" s="5" t="s">
        <v>18</v>
      </c>
    </row>
    <row r="63" spans="1:10" x14ac:dyDescent="0.25">
      <c r="A63" s="4" t="s">
        <v>9</v>
      </c>
    </row>
    <row r="64" spans="1:10" x14ac:dyDescent="0.25">
      <c r="B64" s="5" t="s">
        <v>10</v>
      </c>
    </row>
    <row r="65" spans="1:7" x14ac:dyDescent="0.25">
      <c r="B65" s="5" t="s">
        <v>56</v>
      </c>
      <c r="E65" s="14" t="s">
        <v>1</v>
      </c>
      <c r="F65" s="14" t="s">
        <v>86</v>
      </c>
      <c r="G65" s="14" t="s">
        <v>87</v>
      </c>
    </row>
    <row r="66" spans="1:7" x14ac:dyDescent="0.25">
      <c r="B66" s="5" t="s">
        <v>22</v>
      </c>
      <c r="E66" s="14">
        <v>1</v>
      </c>
      <c r="F66" s="14">
        <v>1</v>
      </c>
      <c r="G66" s="14">
        <v>1</v>
      </c>
    </row>
    <row r="67" spans="1:7" x14ac:dyDescent="0.25">
      <c r="B67" s="5" t="s">
        <v>19</v>
      </c>
      <c r="C67" s="5" t="s">
        <v>20</v>
      </c>
      <c r="E67" s="16">
        <f>57*5*0.001</f>
        <v>0.28500000000000003</v>
      </c>
      <c r="F67" s="16">
        <f>57*10*0.001</f>
        <v>0.57000000000000006</v>
      </c>
      <c r="G67" s="16">
        <f>+F67</f>
        <v>0.57000000000000006</v>
      </c>
    </row>
    <row r="68" spans="1:7" x14ac:dyDescent="0.25">
      <c r="E68" s="17"/>
      <c r="F68" s="17"/>
      <c r="G68" s="17"/>
    </row>
    <row r="69" spans="1:7" x14ac:dyDescent="0.25">
      <c r="A69" s="4" t="s">
        <v>11</v>
      </c>
      <c r="E69" s="17"/>
      <c r="F69" s="17"/>
      <c r="G69" s="17"/>
    </row>
    <row r="70" spans="1:7" x14ac:dyDescent="0.25">
      <c r="E70" s="14" t="s">
        <v>1</v>
      </c>
      <c r="F70" s="14" t="s">
        <v>86</v>
      </c>
      <c r="G70" s="14" t="s">
        <v>87</v>
      </c>
    </row>
    <row r="71" spans="1:7" x14ac:dyDescent="0.25">
      <c r="B71" s="5" t="s">
        <v>25</v>
      </c>
      <c r="D71" s="5" t="s">
        <v>12</v>
      </c>
      <c r="E71" s="16">
        <v>0.12239999999999999</v>
      </c>
      <c r="F71" s="16">
        <v>0.12239999999999999</v>
      </c>
      <c r="G71" s="16">
        <v>0.12239999999999999</v>
      </c>
    </row>
    <row r="72" spans="1:7" x14ac:dyDescent="0.25">
      <c r="B72" s="5" t="s">
        <v>26</v>
      </c>
      <c r="D72" s="5" t="s">
        <v>14</v>
      </c>
      <c r="E72" s="18">
        <v>0.26800000000000002</v>
      </c>
      <c r="F72" s="18">
        <v>0.26800000000000002</v>
      </c>
      <c r="G72" s="18">
        <v>0.26800000000000002</v>
      </c>
    </row>
    <row r="73" spans="1:7" x14ac:dyDescent="0.25">
      <c r="D73" s="5" t="s">
        <v>13</v>
      </c>
      <c r="E73" s="16">
        <f>+E67-E71</f>
        <v>0.16260000000000002</v>
      </c>
      <c r="F73" s="16">
        <f t="shared" ref="F73:G73" si="0">+F67-F71</f>
        <v>0.44760000000000005</v>
      </c>
      <c r="G73" s="16">
        <f t="shared" si="0"/>
        <v>0.44760000000000005</v>
      </c>
    </row>
    <row r="74" spans="1:7" x14ac:dyDescent="0.25">
      <c r="B74" s="5" t="s">
        <v>28</v>
      </c>
      <c r="D74" s="5" t="s">
        <v>17</v>
      </c>
      <c r="E74" s="16">
        <v>1.1779999999999999</v>
      </c>
      <c r="F74" s="16">
        <v>1.1779999999999999</v>
      </c>
      <c r="G74" s="16">
        <v>1.1779999999999999</v>
      </c>
    </row>
    <row r="75" spans="1:7" x14ac:dyDescent="0.25">
      <c r="B75" s="5" t="s">
        <v>27</v>
      </c>
      <c r="D75" s="5" t="s">
        <v>16</v>
      </c>
      <c r="E75" s="16">
        <v>1.0900000000000001</v>
      </c>
      <c r="F75" s="16">
        <v>1.0900000000000001</v>
      </c>
      <c r="G75" s="16">
        <v>1.0900000000000001</v>
      </c>
    </row>
    <row r="76" spans="1:7" x14ac:dyDescent="0.25">
      <c r="B76" s="5" t="s">
        <v>29</v>
      </c>
      <c r="D76" s="5" t="s">
        <v>15</v>
      </c>
      <c r="E76" s="18">
        <f>+E73/E75</f>
        <v>0.14917431192660552</v>
      </c>
      <c r="F76" s="18">
        <f t="shared" ref="F76:G76" si="1">+F73/F75</f>
        <v>0.41064220183486239</v>
      </c>
      <c r="G76" s="18">
        <f t="shared" si="1"/>
        <v>0.41064220183486239</v>
      </c>
    </row>
    <row r="77" spans="1:7" x14ac:dyDescent="0.25">
      <c r="B77" s="5" t="s">
        <v>30</v>
      </c>
      <c r="D77" s="5" t="s">
        <v>31</v>
      </c>
      <c r="E77" s="18">
        <f>+E76+E72</f>
        <v>0.41717431192660553</v>
      </c>
      <c r="F77" s="18">
        <f t="shared" ref="F77:G77" si="2">+F76+F72</f>
        <v>0.67864220183486235</v>
      </c>
      <c r="G77" s="18">
        <f t="shared" si="2"/>
        <v>0.67864220183486235</v>
      </c>
    </row>
    <row r="79" spans="1:7" x14ac:dyDescent="0.25">
      <c r="A79" s="4" t="s">
        <v>72</v>
      </c>
    </row>
    <row r="80" spans="1:7" x14ac:dyDescent="0.25">
      <c r="B80" s="5" t="s">
        <v>55</v>
      </c>
      <c r="E80" s="14" t="s">
        <v>1</v>
      </c>
      <c r="F80" s="14" t="s">
        <v>86</v>
      </c>
      <c r="G80" s="14" t="s">
        <v>87</v>
      </c>
    </row>
    <row r="81" spans="1:7" x14ac:dyDescent="0.25">
      <c r="B81" s="5" t="s">
        <v>23</v>
      </c>
      <c r="C81" s="5" t="s">
        <v>24</v>
      </c>
      <c r="E81" s="16">
        <f>+E58*E53/1000</f>
        <v>0.10514947514228552</v>
      </c>
      <c r="F81" s="16">
        <f>+F58*F53/1000</f>
        <v>0.1886247905967644</v>
      </c>
      <c r="G81" s="16">
        <f>+G58*G53/1000</f>
        <v>0.1886247905967644</v>
      </c>
    </row>
    <row r="82" spans="1:7" x14ac:dyDescent="0.25">
      <c r="B82" s="5" t="s">
        <v>27</v>
      </c>
      <c r="D82" s="5" t="s">
        <v>16</v>
      </c>
      <c r="E82" s="16">
        <v>1.0900000000000001</v>
      </c>
      <c r="F82" s="16">
        <v>1.0900000000000001</v>
      </c>
      <c r="G82" s="16">
        <v>1.0900000000000001</v>
      </c>
    </row>
    <row r="83" spans="1:7" x14ac:dyDescent="0.25">
      <c r="B83" s="5" t="s">
        <v>32</v>
      </c>
      <c r="D83" s="5" t="s">
        <v>33</v>
      </c>
      <c r="E83" s="18">
        <f>+E81/E82</f>
        <v>9.6467408387417908E-2</v>
      </c>
      <c r="F83" s="18">
        <f t="shared" ref="F83:G83" si="3">+F81/F82</f>
        <v>0.17305026660253614</v>
      </c>
      <c r="G83" s="18">
        <f t="shared" si="3"/>
        <v>0.17305026660253614</v>
      </c>
    </row>
    <row r="84" spans="1:7" x14ac:dyDescent="0.25">
      <c r="E84" s="19"/>
      <c r="F84" s="19"/>
      <c r="G84" s="19"/>
    </row>
    <row r="85" spans="1:7" x14ac:dyDescent="0.25">
      <c r="A85" s="4" t="s">
        <v>73</v>
      </c>
      <c r="E85" s="19"/>
      <c r="F85" s="19"/>
      <c r="G85" s="19"/>
    </row>
    <row r="86" spans="1:7" x14ac:dyDescent="0.25">
      <c r="B86" s="5" t="s">
        <v>54</v>
      </c>
      <c r="E86" s="14" t="s">
        <v>1</v>
      </c>
      <c r="F86" s="14" t="s">
        <v>86</v>
      </c>
      <c r="G86" s="14" t="s">
        <v>87</v>
      </c>
    </row>
    <row r="87" spans="1:7" x14ac:dyDescent="0.25">
      <c r="B87" s="5" t="s">
        <v>34</v>
      </c>
      <c r="C87" s="5" t="s">
        <v>35</v>
      </c>
      <c r="E87" s="20">
        <f>0.82-0.26*E82</f>
        <v>0.53659999999999997</v>
      </c>
      <c r="F87" s="20">
        <f t="shared" ref="F87:G87" si="4">0.82-0.26*F82</f>
        <v>0.53659999999999997</v>
      </c>
      <c r="G87" s="20">
        <f t="shared" si="4"/>
        <v>0.53659999999999997</v>
      </c>
    </row>
    <row r="88" spans="1:7" x14ac:dyDescent="0.25">
      <c r="B88" s="5" t="s">
        <v>37</v>
      </c>
      <c r="E88" s="21" t="s">
        <v>7</v>
      </c>
      <c r="F88" s="21" t="s">
        <v>7</v>
      </c>
      <c r="G88" s="21" t="s">
        <v>7</v>
      </c>
    </row>
    <row r="89" spans="1:7" x14ac:dyDescent="0.25">
      <c r="E89" s="22"/>
      <c r="F89" s="22"/>
      <c r="G89" s="22"/>
    </row>
    <row r="90" spans="1:7" x14ac:dyDescent="0.25">
      <c r="A90" s="4" t="s">
        <v>74</v>
      </c>
      <c r="E90" s="22"/>
      <c r="F90" s="22"/>
      <c r="G90" s="22"/>
    </row>
    <row r="91" spans="1:7" x14ac:dyDescent="0.25">
      <c r="B91" s="5" t="s">
        <v>53</v>
      </c>
      <c r="E91" s="14" t="s">
        <v>1</v>
      </c>
      <c r="F91" s="14" t="s">
        <v>86</v>
      </c>
      <c r="G91" s="14" t="s">
        <v>87</v>
      </c>
    </row>
    <row r="92" spans="1:7" x14ac:dyDescent="0.25">
      <c r="B92" s="5" t="s">
        <v>51</v>
      </c>
      <c r="E92" s="20">
        <f>+E83</f>
        <v>9.6467408387417908E-2</v>
      </c>
      <c r="F92" s="20">
        <f t="shared" ref="F92:G92" si="5">+F83</f>
        <v>0.17305026660253614</v>
      </c>
      <c r="G92" s="20">
        <f t="shared" si="5"/>
        <v>0.17305026660253614</v>
      </c>
    </row>
    <row r="93" spans="1:7" x14ac:dyDescent="0.25">
      <c r="B93" s="5" t="s">
        <v>36</v>
      </c>
      <c r="E93" s="20">
        <f>+E87+0.1</f>
        <v>0.63659999999999994</v>
      </c>
      <c r="F93" s="20">
        <f t="shared" ref="F93:G93" si="6">+F87+0.1</f>
        <v>0.63659999999999994</v>
      </c>
      <c r="G93" s="20">
        <f t="shared" si="6"/>
        <v>0.63659999999999994</v>
      </c>
    </row>
    <row r="94" spans="1:7" x14ac:dyDescent="0.25">
      <c r="B94" s="5" t="s">
        <v>41</v>
      </c>
      <c r="E94" s="18">
        <f>+E93</f>
        <v>0.63659999999999994</v>
      </c>
      <c r="F94" s="18">
        <f t="shared" ref="F94:G94" si="7">+F93</f>
        <v>0.63659999999999994</v>
      </c>
      <c r="G94" s="18">
        <f t="shared" si="7"/>
        <v>0.63659999999999994</v>
      </c>
    </row>
    <row r="95" spans="1:7" x14ac:dyDescent="0.25">
      <c r="E95" s="22"/>
      <c r="F95" s="22"/>
      <c r="G95" s="22"/>
    </row>
    <row r="96" spans="1:7" x14ac:dyDescent="0.25">
      <c r="A96" s="4" t="s">
        <v>75</v>
      </c>
      <c r="E96" s="22"/>
      <c r="F96" s="22"/>
      <c r="G96" s="22"/>
    </row>
    <row r="97" spans="1:7" x14ac:dyDescent="0.25">
      <c r="B97" s="5" t="s">
        <v>57</v>
      </c>
      <c r="E97" s="14" t="s">
        <v>1</v>
      </c>
      <c r="F97" s="14" t="s">
        <v>86</v>
      </c>
      <c r="G97" s="14" t="s">
        <v>87</v>
      </c>
    </row>
    <row r="98" spans="1:7" x14ac:dyDescent="0.25">
      <c r="B98" s="5" t="s">
        <v>27</v>
      </c>
      <c r="D98" s="5" t="s">
        <v>16</v>
      </c>
      <c r="E98" s="16">
        <v>1.0900000000000001</v>
      </c>
      <c r="F98" s="16">
        <v>1.0900000000000001</v>
      </c>
      <c r="G98" s="16">
        <v>1.0900000000000001</v>
      </c>
    </row>
    <row r="99" spans="1:7" x14ac:dyDescent="0.25">
      <c r="B99" s="5" t="s">
        <v>38</v>
      </c>
      <c r="C99" s="5" t="s">
        <v>39</v>
      </c>
      <c r="E99" s="20">
        <f>0.7/E98</f>
        <v>0.64220183486238525</v>
      </c>
      <c r="F99" s="20">
        <f t="shared" ref="F99:G99" si="8">0.7/F98</f>
        <v>0.64220183486238525</v>
      </c>
      <c r="G99" s="20">
        <f t="shared" si="8"/>
        <v>0.64220183486238525</v>
      </c>
    </row>
    <row r="100" spans="1:7" x14ac:dyDescent="0.25">
      <c r="B100" s="5" t="s">
        <v>38</v>
      </c>
      <c r="C100" s="5" t="s">
        <v>40</v>
      </c>
      <c r="E100" s="18">
        <v>0.6</v>
      </c>
      <c r="F100" s="18">
        <v>0.4</v>
      </c>
      <c r="G100" s="18">
        <v>0.4</v>
      </c>
    </row>
    <row r="101" spans="1:7" x14ac:dyDescent="0.25">
      <c r="E101" s="22"/>
      <c r="F101" s="22"/>
      <c r="G101" s="22"/>
    </row>
    <row r="102" spans="1:7" x14ac:dyDescent="0.25">
      <c r="A102" s="4" t="s">
        <v>76</v>
      </c>
      <c r="E102" s="22"/>
      <c r="F102" s="22"/>
      <c r="G102" s="22"/>
    </row>
    <row r="103" spans="1:7" x14ac:dyDescent="0.25">
      <c r="B103" s="5" t="s">
        <v>58</v>
      </c>
      <c r="E103" s="14" t="s">
        <v>1</v>
      </c>
      <c r="F103" s="14" t="s">
        <v>86</v>
      </c>
      <c r="G103" s="14" t="s">
        <v>87</v>
      </c>
    </row>
    <row r="104" spans="1:7" x14ac:dyDescent="0.25">
      <c r="B104" s="5" t="s">
        <v>42</v>
      </c>
      <c r="E104" s="16">
        <f>+E100+E94+E83</f>
        <v>1.3330674083874179</v>
      </c>
      <c r="F104" s="16">
        <f t="shared" ref="F104:G104" si="9">+F100+F94+F83</f>
        <v>1.2096502666025362</v>
      </c>
      <c r="G104" s="16">
        <f t="shared" si="9"/>
        <v>1.2096502666025362</v>
      </c>
    </row>
    <row r="105" spans="1:7" x14ac:dyDescent="0.25">
      <c r="B105" s="5" t="s">
        <v>92</v>
      </c>
      <c r="E105" s="20">
        <v>1.56</v>
      </c>
      <c r="F105" s="20">
        <v>1.56</v>
      </c>
      <c r="G105" s="20">
        <v>1.56</v>
      </c>
    </row>
    <row r="106" spans="1:7" x14ac:dyDescent="0.25">
      <c r="E106" s="21" t="s">
        <v>7</v>
      </c>
      <c r="F106" s="21" t="s">
        <v>7</v>
      </c>
      <c r="G106" s="21" t="s">
        <v>7</v>
      </c>
    </row>
    <row r="109" spans="1:7" x14ac:dyDescent="0.25">
      <c r="A109" s="4" t="s">
        <v>121</v>
      </c>
    </row>
    <row r="110" spans="1:7" x14ac:dyDescent="0.25">
      <c r="A110" s="4"/>
    </row>
    <row r="111" spans="1:7" x14ac:dyDescent="0.25">
      <c r="A111" s="4" t="s">
        <v>83</v>
      </c>
    </row>
    <row r="112" spans="1:7" x14ac:dyDescent="0.25">
      <c r="A112" s="4"/>
    </row>
    <row r="113" spans="1:1" x14ac:dyDescent="0.25">
      <c r="A113" s="4"/>
    </row>
    <row r="114" spans="1:1" x14ac:dyDescent="0.25">
      <c r="A114" s="4"/>
    </row>
    <row r="115" spans="1:1" x14ac:dyDescent="0.25">
      <c r="A115" s="4"/>
    </row>
    <row r="116" spans="1:1" x14ac:dyDescent="0.25">
      <c r="A116" s="4"/>
    </row>
    <row r="117" spans="1:1" x14ac:dyDescent="0.25">
      <c r="A117" s="4"/>
    </row>
    <row r="118" spans="1:1" x14ac:dyDescent="0.25">
      <c r="A118" s="4"/>
    </row>
    <row r="128" spans="1:1" x14ac:dyDescent="0.25">
      <c r="A128" s="4" t="s">
        <v>84</v>
      </c>
    </row>
    <row r="129" spans="1:12" x14ac:dyDescent="0.25">
      <c r="B129" s="5" t="s">
        <v>59</v>
      </c>
      <c r="E129" s="23">
        <v>1.5</v>
      </c>
      <c r="F129" s="5" t="s">
        <v>60</v>
      </c>
    </row>
    <row r="130" spans="1:12" x14ac:dyDescent="0.25">
      <c r="B130" s="5" t="s">
        <v>93</v>
      </c>
      <c r="E130" s="23">
        <v>1.5</v>
      </c>
      <c r="F130" s="5" t="s">
        <v>60</v>
      </c>
    </row>
    <row r="131" spans="1:12" x14ac:dyDescent="0.25">
      <c r="B131" s="5" t="s">
        <v>61</v>
      </c>
      <c r="E131" s="23">
        <v>1.5</v>
      </c>
      <c r="F131" s="5" t="s">
        <v>60</v>
      </c>
    </row>
    <row r="132" spans="1:12" x14ac:dyDescent="0.25">
      <c r="B132" s="5" t="s">
        <v>62</v>
      </c>
      <c r="E132" s="23">
        <v>0.5</v>
      </c>
      <c r="F132" s="5" t="s">
        <v>60</v>
      </c>
    </row>
    <row r="133" spans="1:12" x14ac:dyDescent="0.25">
      <c r="B133" s="5" t="s">
        <v>63</v>
      </c>
      <c r="E133" s="23">
        <f>+E131-E132</f>
        <v>1</v>
      </c>
      <c r="F133" s="5" t="s">
        <v>60</v>
      </c>
    </row>
    <row r="134" spans="1:12" x14ac:dyDescent="0.25">
      <c r="B134" s="5" t="s">
        <v>69</v>
      </c>
      <c r="E134" s="24">
        <f>3.1425926*E129</f>
        <v>4.7138888999999997</v>
      </c>
      <c r="F134" s="5" t="s">
        <v>60</v>
      </c>
    </row>
    <row r="135" spans="1:12" x14ac:dyDescent="0.25">
      <c r="B135" s="5" t="s">
        <v>65</v>
      </c>
      <c r="E135" s="24">
        <f>+E134*E133</f>
        <v>4.7138888999999997</v>
      </c>
      <c r="F135" s="5" t="s">
        <v>66</v>
      </c>
    </row>
    <row r="136" spans="1:12" x14ac:dyDescent="0.25">
      <c r="E136" s="24"/>
    </row>
    <row r="137" spans="1:12" x14ac:dyDescent="0.25">
      <c r="B137" s="4" t="s">
        <v>99</v>
      </c>
      <c r="E137" s="24"/>
    </row>
    <row r="138" spans="1:12" ht="45" customHeight="1" x14ac:dyDescent="0.25">
      <c r="B138" s="61" t="s">
        <v>71</v>
      </c>
      <c r="C138" s="61"/>
      <c r="D138" s="25" t="s">
        <v>125</v>
      </c>
      <c r="E138" s="25" t="s">
        <v>85</v>
      </c>
      <c r="F138" s="25" t="s">
        <v>65</v>
      </c>
      <c r="G138" s="25" t="s">
        <v>67</v>
      </c>
      <c r="L138" s="24"/>
    </row>
    <row r="139" spans="1:12" x14ac:dyDescent="0.25">
      <c r="B139" s="61"/>
      <c r="C139" s="61"/>
      <c r="D139" s="14" t="s">
        <v>98</v>
      </c>
      <c r="E139" s="14" t="s">
        <v>64</v>
      </c>
      <c r="F139" s="14" t="s">
        <v>66</v>
      </c>
      <c r="G139" s="14" t="s">
        <v>68</v>
      </c>
      <c r="L139" s="24"/>
    </row>
    <row r="140" spans="1:12" x14ac:dyDescent="0.25">
      <c r="B140" s="26" t="s">
        <v>90</v>
      </c>
      <c r="C140" s="26"/>
      <c r="D140" s="15">
        <v>2.0499999999999998</v>
      </c>
      <c r="E140" s="27">
        <f>113.9088578-32.36143273*LN(+D140)</f>
        <v>90.678533623048921</v>
      </c>
      <c r="F140" s="28">
        <f>+E135</f>
        <v>4.7138888999999997</v>
      </c>
      <c r="G140" s="15">
        <f>+F140*E140</f>
        <v>427.44853311396707</v>
      </c>
      <c r="H140" s="29" t="s">
        <v>88</v>
      </c>
      <c r="I140" s="29" t="s">
        <v>89</v>
      </c>
      <c r="J140" s="4" t="s">
        <v>70</v>
      </c>
      <c r="L140" s="24"/>
    </row>
    <row r="141" spans="1:12" x14ac:dyDescent="0.25">
      <c r="B141" s="13"/>
      <c r="C141" s="13"/>
      <c r="D141" s="30"/>
      <c r="E141" s="30"/>
      <c r="F141" s="31"/>
      <c r="G141" s="32"/>
      <c r="H141" s="29"/>
      <c r="I141" s="29"/>
      <c r="J141" s="4"/>
      <c r="L141" s="24"/>
    </row>
    <row r="143" spans="1:12" x14ac:dyDescent="0.25">
      <c r="A143" s="33" t="s">
        <v>81</v>
      </c>
    </row>
    <row r="144" spans="1:12" ht="59.25" customHeight="1" x14ac:dyDescent="0.25">
      <c r="B144" s="63" t="s">
        <v>94</v>
      </c>
      <c r="C144" s="63"/>
      <c r="D144" s="63"/>
      <c r="E144" s="63"/>
      <c r="F144" s="63"/>
      <c r="G144" s="63"/>
      <c r="H144" s="63"/>
      <c r="I144" s="63"/>
      <c r="J144" s="63"/>
    </row>
    <row r="146" spans="1:11" x14ac:dyDescent="0.25">
      <c r="A146" s="34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25">
      <c r="A147" s="34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</sheetData>
  <mergeCells count="8">
    <mergeCell ref="B138:C139"/>
    <mergeCell ref="A1:J1"/>
    <mergeCell ref="B144:J144"/>
    <mergeCell ref="A2:J2"/>
    <mergeCell ref="A3:J3"/>
    <mergeCell ref="A28:J28"/>
    <mergeCell ref="A29:J29"/>
    <mergeCell ref="A54:J54"/>
  </mergeCells>
  <printOptions horizontalCentered="1"/>
  <pageMargins left="0.98425196850393704" right="0.70866141732283472" top="0.6692913385826772" bottom="0.70866141732283472" header="0.31496062992125984" footer="0.31496062992125984"/>
  <pageSetup paperSize="9" scale="77" fitToHeight="0" orientation="portrait" r:id="rId1"/>
  <rowBreaks count="2" manualBreakCount="2">
    <brk id="54" max="9" man="1"/>
    <brk id="107" max="9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BreakPreview" topLeftCell="A31" zoomScale="85" zoomScaleNormal="100" zoomScaleSheetLayoutView="85" workbookViewId="0">
      <selection activeCell="A3" sqref="A3:I4"/>
    </sheetView>
  </sheetViews>
  <sheetFormatPr baseColWidth="10" defaultRowHeight="15" x14ac:dyDescent="0.25"/>
  <cols>
    <col min="1" max="1" width="10.140625" customWidth="1"/>
  </cols>
  <sheetData>
    <row r="1" spans="1:9" ht="21" x14ac:dyDescent="0.35">
      <c r="A1" s="67" t="s">
        <v>100</v>
      </c>
      <c r="B1" s="67"/>
      <c r="C1" s="67"/>
      <c r="D1" s="67"/>
      <c r="E1" s="67"/>
      <c r="F1" s="67"/>
      <c r="G1" s="67"/>
      <c r="H1" s="67"/>
      <c r="I1" s="67"/>
    </row>
    <row r="3" spans="1:9" x14ac:dyDescent="0.25">
      <c r="A3" s="75" t="str">
        <f>+'BIODIGESTOR Y POZO INFILTRACION'!A3:J3</f>
        <v>PROYECTO: "AMPLIACIÓN Y MEJORAMIENTO DEL SISTEMA DE AGUA POTABLE Y CONSTRUCCION DE ALCANTARILLADO DE LA LOCALIDAD DE YANABAMBA, DISTRITO DE SANTO DOMINGO DE ACOBAMBA - HUANCAYO – JUNÍN"</v>
      </c>
      <c r="B3" s="75"/>
      <c r="C3" s="75"/>
      <c r="D3" s="75"/>
      <c r="E3" s="75"/>
      <c r="F3" s="75"/>
      <c r="G3" s="75"/>
      <c r="H3" s="75"/>
      <c r="I3" s="75"/>
    </row>
    <row r="4" spans="1:9" x14ac:dyDescent="0.25">
      <c r="A4" s="75"/>
      <c r="B4" s="75"/>
      <c r="C4" s="75"/>
      <c r="D4" s="75"/>
      <c r="E4" s="75"/>
      <c r="F4" s="75"/>
      <c r="G4" s="75"/>
      <c r="H4" s="75"/>
      <c r="I4" s="75"/>
    </row>
    <row r="5" spans="1:9" ht="15.75" thickBot="1" x14ac:dyDescent="0.3"/>
    <row r="6" spans="1:9" x14ac:dyDescent="0.25">
      <c r="A6" s="68" t="s">
        <v>101</v>
      </c>
      <c r="B6" s="71" t="s">
        <v>102</v>
      </c>
      <c r="C6" s="72"/>
      <c r="D6" s="71" t="s">
        <v>103</v>
      </c>
      <c r="E6" s="72"/>
      <c r="F6" s="71" t="s">
        <v>104</v>
      </c>
      <c r="G6" s="72"/>
      <c r="H6" s="71" t="s">
        <v>105</v>
      </c>
      <c r="I6" s="72"/>
    </row>
    <row r="7" spans="1:9" x14ac:dyDescent="0.25">
      <c r="A7" s="69"/>
      <c r="B7" s="73"/>
      <c r="C7" s="74"/>
      <c r="D7" s="73"/>
      <c r="E7" s="74"/>
      <c r="F7" s="73"/>
      <c r="G7" s="74"/>
      <c r="H7" s="73"/>
      <c r="I7" s="74"/>
    </row>
    <row r="8" spans="1:9" ht="15.75" thickBot="1" x14ac:dyDescent="0.3">
      <c r="A8" s="70"/>
      <c r="B8" s="37" t="s">
        <v>106</v>
      </c>
      <c r="C8" s="37" t="s">
        <v>107</v>
      </c>
      <c r="D8" s="37" t="s">
        <v>108</v>
      </c>
      <c r="E8" s="37" t="s">
        <v>107</v>
      </c>
      <c r="F8" s="37" t="s">
        <v>108</v>
      </c>
      <c r="G8" s="37" t="s">
        <v>107</v>
      </c>
      <c r="H8" s="37" t="s">
        <v>108</v>
      </c>
      <c r="I8" s="38" t="s">
        <v>107</v>
      </c>
    </row>
    <row r="9" spans="1:9" x14ac:dyDescent="0.25">
      <c r="A9" s="39">
        <v>1</v>
      </c>
      <c r="B9" s="40">
        <f>+C9</f>
        <v>39.35</v>
      </c>
      <c r="C9" s="40">
        <f>39.35</f>
        <v>39.35</v>
      </c>
      <c r="D9" s="40">
        <f>+B9/60</f>
        <v>0.65583333333333338</v>
      </c>
      <c r="E9" s="40">
        <f>+D9</f>
        <v>0.65583333333333338</v>
      </c>
      <c r="F9" s="40">
        <v>2.5</v>
      </c>
      <c r="G9" s="40">
        <f>+F9</f>
        <v>2.5</v>
      </c>
      <c r="H9" s="40">
        <f>+F9/D9</f>
        <v>3.8119440914866578</v>
      </c>
      <c r="I9" s="41">
        <f>+H9</f>
        <v>3.8119440914866578</v>
      </c>
    </row>
    <row r="10" spans="1:9" x14ac:dyDescent="0.25">
      <c r="A10" s="42">
        <v>2</v>
      </c>
      <c r="B10" s="43">
        <f>+C10-C9</f>
        <v>53.18</v>
      </c>
      <c r="C10" s="43">
        <f>1*60+32.53</f>
        <v>92.53</v>
      </c>
      <c r="D10" s="43">
        <f>+B10/60</f>
        <v>0.88633333333333331</v>
      </c>
      <c r="E10" s="43">
        <f>+D10+E9</f>
        <v>1.5421666666666667</v>
      </c>
      <c r="F10" s="43">
        <v>2.5</v>
      </c>
      <c r="G10" s="43">
        <f>+F10+G9</f>
        <v>5</v>
      </c>
      <c r="H10" s="43">
        <f>+F10/D10</f>
        <v>2.8206092515983454</v>
      </c>
      <c r="I10" s="44">
        <f>+H10+I9</f>
        <v>6.6325533430850037</v>
      </c>
    </row>
    <row r="11" spans="1:9" x14ac:dyDescent="0.25">
      <c r="A11" s="42">
        <v>3</v>
      </c>
      <c r="B11" s="43">
        <f t="shared" ref="B11:B20" si="0">+C11-C10</f>
        <v>77.080000000000013</v>
      </c>
      <c r="C11" s="43">
        <f>2*60+49.61</f>
        <v>169.61</v>
      </c>
      <c r="D11" s="43">
        <f t="shared" ref="D11:D19" si="1">+B11/60</f>
        <v>1.2846666666666668</v>
      </c>
      <c r="E11" s="43">
        <f t="shared" ref="E11:G20" si="2">+D11+E10</f>
        <v>2.8268333333333335</v>
      </c>
      <c r="F11" s="43">
        <v>2.5</v>
      </c>
      <c r="G11" s="43">
        <f t="shared" si="2"/>
        <v>7.5</v>
      </c>
      <c r="H11" s="43">
        <f t="shared" ref="H11:H20" si="3">+F11/D11</f>
        <v>1.9460300985988581</v>
      </c>
      <c r="I11" s="44">
        <f t="shared" ref="I11:I20" si="4">+H11+I10</f>
        <v>8.5785834416838611</v>
      </c>
    </row>
    <row r="12" spans="1:9" x14ac:dyDescent="0.25">
      <c r="A12" s="42">
        <v>4</v>
      </c>
      <c r="B12" s="43">
        <f t="shared" si="0"/>
        <v>117.14999999999998</v>
      </c>
      <c r="C12" s="43">
        <f>4*60+46.76</f>
        <v>286.76</v>
      </c>
      <c r="D12" s="43">
        <f t="shared" si="1"/>
        <v>1.9524999999999997</v>
      </c>
      <c r="E12" s="43">
        <f t="shared" si="2"/>
        <v>4.7793333333333337</v>
      </c>
      <c r="F12" s="43">
        <v>2.5</v>
      </c>
      <c r="G12" s="43">
        <f t="shared" si="2"/>
        <v>10</v>
      </c>
      <c r="H12" s="43">
        <f t="shared" si="3"/>
        <v>1.2804097311139566</v>
      </c>
      <c r="I12" s="44">
        <f t="shared" si="4"/>
        <v>9.8589931727978168</v>
      </c>
    </row>
    <row r="13" spans="1:9" x14ac:dyDescent="0.25">
      <c r="A13" s="42">
        <v>5</v>
      </c>
      <c r="B13" s="43">
        <f>+C13-C12</f>
        <v>153.51999999999998</v>
      </c>
      <c r="C13" s="43">
        <f>7*60+20.28</f>
        <v>440.28</v>
      </c>
      <c r="D13" s="43">
        <f t="shared" si="1"/>
        <v>2.5586666666666664</v>
      </c>
      <c r="E13" s="43">
        <f t="shared" si="2"/>
        <v>7.3380000000000001</v>
      </c>
      <c r="F13" s="43">
        <v>2.5</v>
      </c>
      <c r="G13" s="43">
        <f t="shared" si="2"/>
        <v>12.5</v>
      </c>
      <c r="H13" s="43">
        <f t="shared" si="3"/>
        <v>0.97707139134966137</v>
      </c>
      <c r="I13" s="44">
        <f t="shared" si="4"/>
        <v>10.836064564147478</v>
      </c>
    </row>
    <row r="14" spans="1:9" x14ac:dyDescent="0.25">
      <c r="A14" s="42">
        <v>6</v>
      </c>
      <c r="B14" s="43">
        <f t="shared" si="0"/>
        <v>176.09000000000003</v>
      </c>
      <c r="C14" s="43">
        <f>10*60+16.37</f>
        <v>616.37</v>
      </c>
      <c r="D14" s="43">
        <f t="shared" si="1"/>
        <v>2.9348333333333341</v>
      </c>
      <c r="E14" s="43">
        <f t="shared" si="2"/>
        <v>10.272833333333335</v>
      </c>
      <c r="F14" s="43">
        <v>2.5</v>
      </c>
      <c r="G14" s="43">
        <f t="shared" si="2"/>
        <v>15</v>
      </c>
      <c r="H14" s="43">
        <f t="shared" si="3"/>
        <v>0.85183712874098449</v>
      </c>
      <c r="I14" s="44">
        <f t="shared" si="4"/>
        <v>11.687901692888461</v>
      </c>
    </row>
    <row r="15" spans="1:9" x14ac:dyDescent="0.25">
      <c r="A15" s="42">
        <v>7</v>
      </c>
      <c r="B15" s="43">
        <f t="shared" si="0"/>
        <v>193.29999999999995</v>
      </c>
      <c r="C15" s="43">
        <f>13*60+29.67</f>
        <v>809.67</v>
      </c>
      <c r="D15" s="43">
        <f t="shared" si="1"/>
        <v>3.2216666666666658</v>
      </c>
      <c r="E15" s="43">
        <f t="shared" si="2"/>
        <v>13.4945</v>
      </c>
      <c r="F15" s="43">
        <v>2.5</v>
      </c>
      <c r="G15" s="43">
        <f t="shared" si="2"/>
        <v>17.5</v>
      </c>
      <c r="H15" s="43">
        <f t="shared" si="3"/>
        <v>0.77599586135540632</v>
      </c>
      <c r="I15" s="44">
        <f t="shared" si="4"/>
        <v>12.463897554243868</v>
      </c>
    </row>
    <row r="16" spans="1:9" x14ac:dyDescent="0.25">
      <c r="A16" s="42">
        <v>8</v>
      </c>
      <c r="B16" s="43">
        <f t="shared" si="0"/>
        <v>247.06000000000006</v>
      </c>
      <c r="C16" s="43">
        <f>17*60+36.73</f>
        <v>1056.73</v>
      </c>
      <c r="D16" s="43">
        <f t="shared" si="1"/>
        <v>4.1176666666666675</v>
      </c>
      <c r="E16" s="43">
        <f t="shared" si="2"/>
        <v>17.612166666666667</v>
      </c>
      <c r="F16" s="43">
        <v>2.5</v>
      </c>
      <c r="G16" s="43">
        <f t="shared" si="2"/>
        <v>20</v>
      </c>
      <c r="H16" s="43">
        <f t="shared" si="3"/>
        <v>0.60713996600016173</v>
      </c>
      <c r="I16" s="44">
        <f t="shared" si="4"/>
        <v>13.07103752024403</v>
      </c>
    </row>
    <row r="17" spans="1:9" x14ac:dyDescent="0.25">
      <c r="A17" s="42">
        <v>9</v>
      </c>
      <c r="B17" s="43">
        <f t="shared" si="0"/>
        <v>417.90000000000009</v>
      </c>
      <c r="C17" s="43">
        <f>24*60+34.63</f>
        <v>1474.63</v>
      </c>
      <c r="D17" s="43">
        <f t="shared" si="1"/>
        <v>6.9650000000000016</v>
      </c>
      <c r="E17" s="43">
        <f t="shared" si="2"/>
        <v>24.57716666666667</v>
      </c>
      <c r="F17" s="43">
        <v>2.5</v>
      </c>
      <c r="G17" s="43">
        <f t="shared" si="2"/>
        <v>22.5</v>
      </c>
      <c r="H17" s="43">
        <f t="shared" si="3"/>
        <v>0.35893754486719304</v>
      </c>
      <c r="I17" s="44">
        <f t="shared" si="4"/>
        <v>13.429975065111222</v>
      </c>
    </row>
    <row r="18" spans="1:9" x14ac:dyDescent="0.25">
      <c r="A18" s="45">
        <v>10</v>
      </c>
      <c r="B18" s="43">
        <f t="shared" si="0"/>
        <v>742.07999999999993</v>
      </c>
      <c r="C18" s="43">
        <f>36*60+56.71</f>
        <v>2216.71</v>
      </c>
      <c r="D18" s="43">
        <f>+B18/60</f>
        <v>12.367999999999999</v>
      </c>
      <c r="E18" s="43">
        <f t="shared" si="2"/>
        <v>36.945166666666665</v>
      </c>
      <c r="F18" s="43">
        <v>2.5</v>
      </c>
      <c r="G18" s="43">
        <f t="shared" si="2"/>
        <v>25</v>
      </c>
      <c r="H18" s="43">
        <f t="shared" si="3"/>
        <v>0.20213454075032344</v>
      </c>
      <c r="I18" s="44">
        <f t="shared" si="4"/>
        <v>13.632109605861546</v>
      </c>
    </row>
    <row r="19" spans="1:9" x14ac:dyDescent="0.25">
      <c r="A19" s="45">
        <v>11</v>
      </c>
      <c r="B19" s="43">
        <f t="shared" si="0"/>
        <v>1249.67</v>
      </c>
      <c r="C19" s="43">
        <f>57*60+46.38</f>
        <v>3466.38</v>
      </c>
      <c r="D19" s="43">
        <f t="shared" si="1"/>
        <v>20.827833333333334</v>
      </c>
      <c r="E19" s="43">
        <f t="shared" si="2"/>
        <v>57.772999999999996</v>
      </c>
      <c r="F19" s="43">
        <v>2.5</v>
      </c>
      <c r="G19" s="43">
        <f t="shared" si="2"/>
        <v>27.5</v>
      </c>
      <c r="H19" s="43">
        <f t="shared" si="3"/>
        <v>0.12003168836572854</v>
      </c>
      <c r="I19" s="44">
        <f t="shared" si="4"/>
        <v>13.752141294227274</v>
      </c>
    </row>
    <row r="20" spans="1:9" ht="15.75" thickBot="1" x14ac:dyDescent="0.3">
      <c r="A20" s="46">
        <v>12</v>
      </c>
      <c r="B20" s="43">
        <f t="shared" si="0"/>
        <v>1998.96</v>
      </c>
      <c r="C20" s="47">
        <f>1*3600+31*60+5.34</f>
        <v>5465.34</v>
      </c>
      <c r="D20" s="43">
        <f>+B20/60</f>
        <v>33.316000000000003</v>
      </c>
      <c r="E20" s="47">
        <f t="shared" si="2"/>
        <v>91.088999999999999</v>
      </c>
      <c r="F20" s="47">
        <v>2.5</v>
      </c>
      <c r="G20" s="47">
        <f t="shared" si="2"/>
        <v>30</v>
      </c>
      <c r="H20" s="43">
        <f t="shared" si="3"/>
        <v>7.5039020290551081E-2</v>
      </c>
      <c r="I20" s="48">
        <f t="shared" si="4"/>
        <v>13.827180314517825</v>
      </c>
    </row>
    <row r="21" spans="1:9" ht="15.75" thickBot="1" x14ac:dyDescent="0.3">
      <c r="A21" s="49" t="s">
        <v>109</v>
      </c>
      <c r="B21" s="50">
        <f>+AVERAGE(B9:B20)</f>
        <v>455.44499999999999</v>
      </c>
      <c r="C21" s="51"/>
      <c r="D21" s="50">
        <f>+AVERAGE(D9:D20)</f>
        <v>7.5907499999999999</v>
      </c>
      <c r="E21" s="51"/>
      <c r="F21" s="50">
        <f>+AVERAGE(F9:F20)</f>
        <v>2.5</v>
      </c>
      <c r="G21" s="51"/>
      <c r="H21" s="50">
        <f>+AVERAGE(H9:H20)</f>
        <v>1.1522650262098189</v>
      </c>
      <c r="I21" s="51"/>
    </row>
    <row r="23" spans="1:9" x14ac:dyDescent="0.25">
      <c r="A23" s="52" t="s">
        <v>110</v>
      </c>
      <c r="C23" s="53"/>
    </row>
    <row r="25" spans="1:9" x14ac:dyDescent="0.25">
      <c r="A25" s="54" t="s">
        <v>111</v>
      </c>
    </row>
    <row r="27" spans="1:9" x14ac:dyDescent="0.25">
      <c r="C27" s="52" t="s">
        <v>112</v>
      </c>
    </row>
    <row r="35" spans="1:5" x14ac:dyDescent="0.25">
      <c r="A35" s="55" t="s">
        <v>113</v>
      </c>
      <c r="D35" s="56">
        <f>+H21</f>
        <v>1.1522650262098189</v>
      </c>
      <c r="E35" s="36" t="s">
        <v>98</v>
      </c>
    </row>
    <row r="36" spans="1:5" x14ac:dyDescent="0.25">
      <c r="A36" s="55" t="s">
        <v>114</v>
      </c>
      <c r="D36" s="56">
        <f>+D21/F21</f>
        <v>3.0362999999999998</v>
      </c>
      <c r="E36" s="36" t="s">
        <v>115</v>
      </c>
    </row>
    <row r="38" spans="1:5" x14ac:dyDescent="0.25">
      <c r="A38" s="54" t="s">
        <v>116</v>
      </c>
    </row>
    <row r="40" spans="1:5" x14ac:dyDescent="0.25">
      <c r="A40" s="57" t="s">
        <v>117</v>
      </c>
    </row>
  </sheetData>
  <mergeCells count="7">
    <mergeCell ref="A1:I1"/>
    <mergeCell ref="A6:A8"/>
    <mergeCell ref="B6:C7"/>
    <mergeCell ref="D6:E7"/>
    <mergeCell ref="F6:G7"/>
    <mergeCell ref="H6:I7"/>
    <mergeCell ref="A3:I4"/>
  </mergeCells>
  <pageMargins left="0.7" right="0.7" top="0.75" bottom="0.75" header="0.3" footer="0.3"/>
  <pageSetup paperSize="9" scale="8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BreakPreview" topLeftCell="A34" zoomScale="85" zoomScaleNormal="100" zoomScaleSheetLayoutView="85" workbookViewId="0">
      <selection activeCell="I51" sqref="I51"/>
    </sheetView>
  </sheetViews>
  <sheetFormatPr baseColWidth="10" defaultRowHeight="15" x14ac:dyDescent="0.25"/>
  <cols>
    <col min="1" max="1" width="19.140625" customWidth="1"/>
    <col min="2" max="9" width="11.7109375" customWidth="1"/>
  </cols>
  <sheetData>
    <row r="1" spans="1:9" ht="21" x14ac:dyDescent="0.35">
      <c r="A1" s="67" t="s">
        <v>100</v>
      </c>
      <c r="B1" s="67"/>
      <c r="C1" s="67"/>
      <c r="D1" s="67"/>
      <c r="E1" s="67"/>
      <c r="F1" s="67"/>
      <c r="G1" s="67"/>
      <c r="H1" s="67"/>
      <c r="I1" s="67"/>
    </row>
    <row r="3" spans="1:9" x14ac:dyDescent="0.25">
      <c r="A3" s="75" t="str">
        <f>+'BIODIGESTOR Y POZO INFILTRACION'!A3:J3</f>
        <v>PROYECTO: "AMPLIACIÓN Y MEJORAMIENTO DEL SISTEMA DE AGUA POTABLE Y CONSTRUCCION DE ALCANTARILLADO DE LA LOCALIDAD DE YANABAMBA, DISTRITO DE SANTO DOMINGO DE ACOBAMBA - HUANCAYO – JUNÍN"</v>
      </c>
      <c r="B3" s="75"/>
      <c r="C3" s="75"/>
      <c r="D3" s="75"/>
      <c r="E3" s="75"/>
      <c r="F3" s="75"/>
      <c r="G3" s="75"/>
      <c r="H3" s="75"/>
      <c r="I3" s="75"/>
    </row>
    <row r="4" spans="1:9" x14ac:dyDescent="0.25">
      <c r="A4" s="75"/>
      <c r="B4" s="75"/>
      <c r="C4" s="75"/>
      <c r="D4" s="75"/>
      <c r="E4" s="75"/>
      <c r="F4" s="75"/>
      <c r="G4" s="75"/>
      <c r="H4" s="75"/>
      <c r="I4" s="75"/>
    </row>
    <row r="5" spans="1:9" ht="15.75" thickBot="1" x14ac:dyDescent="0.3"/>
    <row r="6" spans="1:9" s="58" customFormat="1" x14ac:dyDescent="0.25">
      <c r="A6" s="68" t="s">
        <v>101</v>
      </c>
      <c r="B6" s="76" t="s">
        <v>102</v>
      </c>
      <c r="C6" s="76"/>
      <c r="D6" s="76" t="s">
        <v>103</v>
      </c>
      <c r="E6" s="76"/>
      <c r="F6" s="76" t="s">
        <v>104</v>
      </c>
      <c r="G6" s="76"/>
      <c r="H6" s="76" t="s">
        <v>105</v>
      </c>
      <c r="I6" s="77"/>
    </row>
    <row r="7" spans="1:9" ht="15.75" thickBot="1" x14ac:dyDescent="0.3">
      <c r="A7" s="70"/>
      <c r="B7" s="37" t="s">
        <v>106</v>
      </c>
      <c r="C7" s="37" t="s">
        <v>107</v>
      </c>
      <c r="D7" s="37" t="s">
        <v>108</v>
      </c>
      <c r="E7" s="37" t="s">
        <v>107</v>
      </c>
      <c r="F7" s="37" t="s">
        <v>108</v>
      </c>
      <c r="G7" s="37" t="s">
        <v>107</v>
      </c>
      <c r="H7" s="37" t="s">
        <v>108</v>
      </c>
      <c r="I7" s="38" t="s">
        <v>107</v>
      </c>
    </row>
    <row r="8" spans="1:9" x14ac:dyDescent="0.25">
      <c r="A8" s="39">
        <v>1</v>
      </c>
      <c r="B8" s="40">
        <f>+C8</f>
        <v>31.14</v>
      </c>
      <c r="C8" s="40">
        <v>31.14</v>
      </c>
      <c r="D8" s="40">
        <f>+ROUND((B8/60),2)</f>
        <v>0.52</v>
      </c>
      <c r="E8" s="40">
        <f>+D8</f>
        <v>0.52</v>
      </c>
      <c r="F8" s="40">
        <v>2.5</v>
      </c>
      <c r="G8" s="40">
        <f>+F8</f>
        <v>2.5</v>
      </c>
      <c r="H8" s="40">
        <f>+F8/D8</f>
        <v>4.8076923076923075</v>
      </c>
      <c r="I8" s="41">
        <f>+H8</f>
        <v>4.8076923076923075</v>
      </c>
    </row>
    <row r="9" spans="1:9" x14ac:dyDescent="0.25">
      <c r="A9" s="42">
        <v>2</v>
      </c>
      <c r="B9" s="43">
        <f>+C9-C8</f>
        <v>89.67</v>
      </c>
      <c r="C9" s="43">
        <f>2*60+0.81</f>
        <v>120.81</v>
      </c>
      <c r="D9" s="43">
        <f t="shared" ref="D9:D19" si="0">+ROUND((B9/60),2)</f>
        <v>1.49</v>
      </c>
      <c r="E9" s="43">
        <f>+E8+D9</f>
        <v>2.0099999999999998</v>
      </c>
      <c r="F9" s="43">
        <v>2.5</v>
      </c>
      <c r="G9" s="43">
        <f>+G8+F9</f>
        <v>5</v>
      </c>
      <c r="H9" s="43">
        <f t="shared" ref="H9:H19" si="1">+F9/D9</f>
        <v>1.6778523489932886</v>
      </c>
      <c r="I9" s="44">
        <f>+I8+H9</f>
        <v>6.4855446566855957</v>
      </c>
    </row>
    <row r="10" spans="1:9" x14ac:dyDescent="0.25">
      <c r="A10" s="42">
        <v>3</v>
      </c>
      <c r="B10" s="43">
        <f t="shared" ref="B10:B18" si="2">+C10-C9</f>
        <v>57.319999999999993</v>
      </c>
      <c r="C10" s="43">
        <f>2*60+58.13</f>
        <v>178.13</v>
      </c>
      <c r="D10" s="43">
        <f t="shared" si="0"/>
        <v>0.96</v>
      </c>
      <c r="E10" s="43">
        <f t="shared" ref="E10:I19" si="3">+E9+D10</f>
        <v>2.9699999999999998</v>
      </c>
      <c r="F10" s="43">
        <v>2.5</v>
      </c>
      <c r="G10" s="43">
        <f t="shared" si="3"/>
        <v>7.5</v>
      </c>
      <c r="H10" s="43">
        <f t="shared" si="1"/>
        <v>2.604166666666667</v>
      </c>
      <c r="I10" s="44">
        <f t="shared" si="3"/>
        <v>9.0897113233522617</v>
      </c>
    </row>
    <row r="11" spans="1:9" x14ac:dyDescent="0.25">
      <c r="A11" s="42">
        <v>4</v>
      </c>
      <c r="B11" s="43">
        <f t="shared" si="2"/>
        <v>45.949999999999989</v>
      </c>
      <c r="C11" s="43">
        <f>3*60+44.08</f>
        <v>224.07999999999998</v>
      </c>
      <c r="D11" s="43">
        <f t="shared" si="0"/>
        <v>0.77</v>
      </c>
      <c r="E11" s="43">
        <f t="shared" si="3"/>
        <v>3.7399999999999998</v>
      </c>
      <c r="F11" s="43">
        <v>2.5</v>
      </c>
      <c r="G11" s="43">
        <f t="shared" si="3"/>
        <v>10</v>
      </c>
      <c r="H11" s="43">
        <f t="shared" si="1"/>
        <v>3.2467532467532467</v>
      </c>
      <c r="I11" s="44">
        <f t="shared" si="3"/>
        <v>12.336464570105509</v>
      </c>
    </row>
    <row r="12" spans="1:9" x14ac:dyDescent="0.25">
      <c r="A12" s="42">
        <v>5</v>
      </c>
      <c r="B12" s="43">
        <f t="shared" si="2"/>
        <v>67.490000000000009</v>
      </c>
      <c r="C12" s="43">
        <f>4*60+51.57</f>
        <v>291.57</v>
      </c>
      <c r="D12" s="43">
        <f t="shared" si="0"/>
        <v>1.1200000000000001</v>
      </c>
      <c r="E12" s="43">
        <f t="shared" si="3"/>
        <v>4.8599999999999994</v>
      </c>
      <c r="F12" s="43">
        <v>2.5</v>
      </c>
      <c r="G12" s="43">
        <f t="shared" si="3"/>
        <v>12.5</v>
      </c>
      <c r="H12" s="43">
        <f t="shared" si="1"/>
        <v>2.2321428571428568</v>
      </c>
      <c r="I12" s="44">
        <f t="shared" si="3"/>
        <v>14.568607427248367</v>
      </c>
    </row>
    <row r="13" spans="1:9" x14ac:dyDescent="0.25">
      <c r="A13" s="42">
        <v>6</v>
      </c>
      <c r="B13" s="43">
        <f t="shared" si="2"/>
        <v>70.53000000000003</v>
      </c>
      <c r="C13" s="43">
        <f>6*60+2.1</f>
        <v>362.1</v>
      </c>
      <c r="D13" s="43">
        <f t="shared" si="0"/>
        <v>1.18</v>
      </c>
      <c r="E13" s="43">
        <f t="shared" si="3"/>
        <v>6.0399999999999991</v>
      </c>
      <c r="F13" s="43">
        <v>2.5</v>
      </c>
      <c r="G13" s="43">
        <f t="shared" si="3"/>
        <v>15</v>
      </c>
      <c r="H13" s="43">
        <f t="shared" si="1"/>
        <v>2.1186440677966103</v>
      </c>
      <c r="I13" s="44">
        <f t="shared" si="3"/>
        <v>16.687251495044976</v>
      </c>
    </row>
    <row r="14" spans="1:9" x14ac:dyDescent="0.25">
      <c r="A14" s="42">
        <v>7</v>
      </c>
      <c r="B14" s="43">
        <f t="shared" si="2"/>
        <v>110.60999999999996</v>
      </c>
      <c r="C14" s="43">
        <f>7*60+52.71</f>
        <v>472.71</v>
      </c>
      <c r="D14" s="43">
        <f t="shared" si="0"/>
        <v>1.84</v>
      </c>
      <c r="E14" s="43">
        <f t="shared" si="3"/>
        <v>7.879999999999999</v>
      </c>
      <c r="F14" s="43">
        <v>2.5</v>
      </c>
      <c r="G14" s="43">
        <f t="shared" si="3"/>
        <v>17.5</v>
      </c>
      <c r="H14" s="43">
        <f t="shared" si="1"/>
        <v>1.3586956521739131</v>
      </c>
      <c r="I14" s="44">
        <f t="shared" si="3"/>
        <v>18.045947147218889</v>
      </c>
    </row>
    <row r="15" spans="1:9" x14ac:dyDescent="0.25">
      <c r="A15" s="42">
        <v>8</v>
      </c>
      <c r="B15" s="43">
        <f t="shared" si="2"/>
        <v>136.00000000000006</v>
      </c>
      <c r="C15" s="43">
        <f>10*60+8.71</f>
        <v>608.71</v>
      </c>
      <c r="D15" s="43">
        <f t="shared" si="0"/>
        <v>2.27</v>
      </c>
      <c r="E15" s="43">
        <f t="shared" si="3"/>
        <v>10.149999999999999</v>
      </c>
      <c r="F15" s="43">
        <v>2.5</v>
      </c>
      <c r="G15" s="43">
        <f t="shared" si="3"/>
        <v>20</v>
      </c>
      <c r="H15" s="43">
        <f t="shared" si="1"/>
        <v>1.1013215859030836</v>
      </c>
      <c r="I15" s="44">
        <f t="shared" si="3"/>
        <v>19.147268733121972</v>
      </c>
    </row>
    <row r="16" spans="1:9" x14ac:dyDescent="0.25">
      <c r="A16" s="42">
        <v>9</v>
      </c>
      <c r="B16" s="43">
        <f t="shared" si="2"/>
        <v>168.63</v>
      </c>
      <c r="C16" s="43">
        <f>12*60+57.34</f>
        <v>777.34</v>
      </c>
      <c r="D16" s="43">
        <f t="shared" si="0"/>
        <v>2.81</v>
      </c>
      <c r="E16" s="43">
        <f t="shared" si="3"/>
        <v>12.959999999999999</v>
      </c>
      <c r="F16" s="43">
        <v>2.5</v>
      </c>
      <c r="G16" s="43">
        <f t="shared" si="3"/>
        <v>22.5</v>
      </c>
      <c r="H16" s="43">
        <f t="shared" si="1"/>
        <v>0.88967971530249113</v>
      </c>
      <c r="I16" s="44">
        <f t="shared" si="3"/>
        <v>20.036948448424464</v>
      </c>
    </row>
    <row r="17" spans="1:9" x14ac:dyDescent="0.25">
      <c r="A17" s="45">
        <v>10</v>
      </c>
      <c r="B17" s="43">
        <f t="shared" si="2"/>
        <v>201.56999999999994</v>
      </c>
      <c r="C17" s="43">
        <f>16*60+18.91</f>
        <v>978.91</v>
      </c>
      <c r="D17" s="43">
        <f t="shared" si="0"/>
        <v>3.36</v>
      </c>
      <c r="E17" s="43">
        <f t="shared" si="3"/>
        <v>16.32</v>
      </c>
      <c r="F17" s="43">
        <v>2.5</v>
      </c>
      <c r="G17" s="43">
        <f t="shared" si="3"/>
        <v>25</v>
      </c>
      <c r="H17" s="43">
        <f t="shared" si="1"/>
        <v>0.74404761904761907</v>
      </c>
      <c r="I17" s="44">
        <f t="shared" si="3"/>
        <v>20.780996067472085</v>
      </c>
    </row>
    <row r="18" spans="1:9" x14ac:dyDescent="0.25">
      <c r="A18" s="45">
        <v>11</v>
      </c>
      <c r="B18" s="43">
        <f t="shared" si="2"/>
        <v>240.33000000000004</v>
      </c>
      <c r="C18" s="43">
        <f>20*60+19.24</f>
        <v>1219.24</v>
      </c>
      <c r="D18" s="43">
        <f t="shared" si="0"/>
        <v>4.01</v>
      </c>
      <c r="E18" s="43">
        <f t="shared" si="3"/>
        <v>20.329999999999998</v>
      </c>
      <c r="F18" s="43">
        <v>2.5</v>
      </c>
      <c r="G18" s="43">
        <f t="shared" si="3"/>
        <v>27.5</v>
      </c>
      <c r="H18" s="43">
        <f t="shared" si="1"/>
        <v>0.62344139650872821</v>
      </c>
      <c r="I18" s="44">
        <f t="shared" si="3"/>
        <v>21.404437463980813</v>
      </c>
    </row>
    <row r="19" spans="1:9" ht="15.75" thickBot="1" x14ac:dyDescent="0.3">
      <c r="A19" s="46">
        <v>12</v>
      </c>
      <c r="B19" s="43">
        <f>+C19-C18</f>
        <v>278.44000000000005</v>
      </c>
      <c r="C19" s="47">
        <f>24*60+57.68</f>
        <v>1497.68</v>
      </c>
      <c r="D19" s="47">
        <f t="shared" si="0"/>
        <v>4.6399999999999997</v>
      </c>
      <c r="E19" s="47">
        <f t="shared" si="3"/>
        <v>24.97</v>
      </c>
      <c r="F19" s="47">
        <v>2.5</v>
      </c>
      <c r="G19" s="47">
        <f t="shared" si="3"/>
        <v>30</v>
      </c>
      <c r="H19" s="47">
        <f t="shared" si="1"/>
        <v>0.53879310344827591</v>
      </c>
      <c r="I19" s="48">
        <f t="shared" si="3"/>
        <v>21.94323056742909</v>
      </c>
    </row>
    <row r="20" spans="1:9" ht="15.75" thickBot="1" x14ac:dyDescent="0.3">
      <c r="A20" s="49" t="s">
        <v>109</v>
      </c>
      <c r="B20" s="50">
        <f>+AVERAGE(B8:B19)</f>
        <v>124.80666666666667</v>
      </c>
      <c r="C20" s="51"/>
      <c r="D20" s="50">
        <f>+AVERAGE(D8:D19)</f>
        <v>2.0808333333333331</v>
      </c>
      <c r="E20" s="51"/>
      <c r="F20" s="50">
        <f>+AVERAGE(F8:F19)</f>
        <v>2.5</v>
      </c>
      <c r="G20" s="51"/>
      <c r="H20" s="59">
        <f>+AVERAGE(H8:H19)</f>
        <v>1.8286025472857574</v>
      </c>
      <c r="I20" s="51"/>
    </row>
    <row r="22" spans="1:9" x14ac:dyDescent="0.25">
      <c r="A22" s="52" t="s">
        <v>110</v>
      </c>
      <c r="C22" s="53"/>
    </row>
    <row r="24" spans="1:9" x14ac:dyDescent="0.25">
      <c r="A24" s="54" t="s">
        <v>122</v>
      </c>
    </row>
    <row r="25" spans="1:9" x14ac:dyDescent="0.25">
      <c r="A25" s="54" t="s">
        <v>123</v>
      </c>
    </row>
    <row r="27" spans="1:9" x14ac:dyDescent="0.25">
      <c r="C27" s="52" t="s">
        <v>112</v>
      </c>
    </row>
    <row r="35" spans="1:4" x14ac:dyDescent="0.25">
      <c r="A35" s="55" t="s">
        <v>113</v>
      </c>
      <c r="C35" s="56">
        <f>+H20</f>
        <v>1.8286025472857574</v>
      </c>
      <c r="D35" s="36" t="s">
        <v>98</v>
      </c>
    </row>
    <row r="36" spans="1:4" x14ac:dyDescent="0.25">
      <c r="A36" s="55" t="s">
        <v>114</v>
      </c>
      <c r="C36" s="56">
        <f>+D20/F20</f>
        <v>0.83233333333333326</v>
      </c>
      <c r="D36" s="36" t="s">
        <v>115</v>
      </c>
    </row>
    <row r="38" spans="1:4" x14ac:dyDescent="0.25">
      <c r="A38" s="54" t="s">
        <v>124</v>
      </c>
    </row>
    <row r="40" spans="1:4" x14ac:dyDescent="0.25">
      <c r="A40" s="57" t="s">
        <v>117</v>
      </c>
    </row>
  </sheetData>
  <mergeCells count="7">
    <mergeCell ref="A1:I1"/>
    <mergeCell ref="A6:A7"/>
    <mergeCell ref="B6:C6"/>
    <mergeCell ref="D6:E6"/>
    <mergeCell ref="F6:G6"/>
    <mergeCell ref="H6:I6"/>
    <mergeCell ref="A3:I4"/>
  </mergeCells>
  <pageMargins left="0.7" right="0.7" top="0.75" bottom="0.75" header="0.3" footer="0.3"/>
  <pageSetup paperSize="9" scale="7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BreakPreview" topLeftCell="A25" zoomScale="85" zoomScaleNormal="100" zoomScaleSheetLayoutView="85" workbookViewId="0">
      <selection activeCell="A3" sqref="A3:I4"/>
    </sheetView>
  </sheetViews>
  <sheetFormatPr baseColWidth="10" defaultRowHeight="15" x14ac:dyDescent="0.25"/>
  <cols>
    <col min="1" max="1" width="19.140625" customWidth="1"/>
    <col min="2" max="9" width="11.7109375" customWidth="1"/>
  </cols>
  <sheetData>
    <row r="1" spans="1:9" ht="21" x14ac:dyDescent="0.35">
      <c r="A1" s="67" t="s">
        <v>100</v>
      </c>
      <c r="B1" s="67"/>
      <c r="C1" s="67"/>
      <c r="D1" s="67"/>
      <c r="E1" s="67"/>
      <c r="F1" s="67"/>
      <c r="G1" s="67"/>
      <c r="H1" s="67"/>
      <c r="I1" s="67"/>
    </row>
    <row r="2" spans="1:9" ht="12" customHeight="1" x14ac:dyDescent="0.25"/>
    <row r="3" spans="1:9" x14ac:dyDescent="0.25">
      <c r="A3" s="75" t="str">
        <f>+'BIODIGESTOR Y POZO INFILTRACION'!A3:J3</f>
        <v>PROYECTO: "AMPLIACIÓN Y MEJORAMIENTO DEL SISTEMA DE AGUA POTABLE Y CONSTRUCCION DE ALCANTARILLADO DE LA LOCALIDAD DE YANABAMBA, DISTRITO DE SANTO DOMINGO DE ACOBAMBA - HUANCAYO – JUNÍN"</v>
      </c>
      <c r="B3" s="75"/>
      <c r="C3" s="75"/>
      <c r="D3" s="75"/>
      <c r="E3" s="75"/>
      <c r="F3" s="75"/>
      <c r="G3" s="75"/>
      <c r="H3" s="75"/>
      <c r="I3" s="75"/>
    </row>
    <row r="4" spans="1:9" x14ac:dyDescent="0.25">
      <c r="A4" s="75"/>
      <c r="B4" s="75"/>
      <c r="C4" s="75"/>
      <c r="D4" s="75"/>
      <c r="E4" s="75"/>
      <c r="F4" s="75"/>
      <c r="G4" s="75"/>
      <c r="H4" s="75"/>
      <c r="I4" s="75"/>
    </row>
    <row r="5" spans="1:9" ht="12" customHeight="1" thickBot="1" x14ac:dyDescent="0.3"/>
    <row r="6" spans="1:9" s="58" customFormat="1" ht="30" customHeight="1" x14ac:dyDescent="0.25">
      <c r="A6" s="68" t="s">
        <v>101</v>
      </c>
      <c r="B6" s="76" t="s">
        <v>102</v>
      </c>
      <c r="C6" s="76"/>
      <c r="D6" s="76" t="s">
        <v>103</v>
      </c>
      <c r="E6" s="76"/>
      <c r="F6" s="76" t="s">
        <v>104</v>
      </c>
      <c r="G6" s="76"/>
      <c r="H6" s="76" t="s">
        <v>105</v>
      </c>
      <c r="I6" s="77"/>
    </row>
    <row r="7" spans="1:9" ht="15.75" thickBot="1" x14ac:dyDescent="0.3">
      <c r="A7" s="70"/>
      <c r="B7" s="37" t="s">
        <v>106</v>
      </c>
      <c r="C7" s="37" t="s">
        <v>107</v>
      </c>
      <c r="D7" s="37" t="s">
        <v>108</v>
      </c>
      <c r="E7" s="37" t="s">
        <v>107</v>
      </c>
      <c r="F7" s="37" t="s">
        <v>108</v>
      </c>
      <c r="G7" s="37" t="s">
        <v>107</v>
      </c>
      <c r="H7" s="37" t="s">
        <v>108</v>
      </c>
      <c r="I7" s="38" t="s">
        <v>107</v>
      </c>
    </row>
    <row r="8" spans="1:9" x14ac:dyDescent="0.25">
      <c r="A8" s="39">
        <v>1</v>
      </c>
      <c r="B8" s="40">
        <f>+C8</f>
        <v>31.14</v>
      </c>
      <c r="C8" s="40">
        <v>31.14</v>
      </c>
      <c r="D8" s="40">
        <f>+ROUND((B8/60),2)</f>
        <v>0.52</v>
      </c>
      <c r="E8" s="40">
        <f>+D8</f>
        <v>0.52</v>
      </c>
      <c r="F8" s="40">
        <v>2.5</v>
      </c>
      <c r="G8" s="40">
        <f>+F8</f>
        <v>2.5</v>
      </c>
      <c r="H8" s="40">
        <f>+F8/D8</f>
        <v>4.8076923076923075</v>
      </c>
      <c r="I8" s="41">
        <f>+H8</f>
        <v>4.8076923076923075</v>
      </c>
    </row>
    <row r="9" spans="1:9" x14ac:dyDescent="0.25">
      <c r="A9" s="42">
        <v>2</v>
      </c>
      <c r="B9" s="43">
        <f>+C9-C8</f>
        <v>38.739999999999995</v>
      </c>
      <c r="C9" s="43">
        <f>1*60+9.88</f>
        <v>69.88</v>
      </c>
      <c r="D9" s="43">
        <f t="shared" ref="D9:D19" si="0">+ROUND((B9/60),2)</f>
        <v>0.65</v>
      </c>
      <c r="E9" s="43">
        <f>+E8+D9</f>
        <v>1.17</v>
      </c>
      <c r="F9" s="43">
        <v>2.5</v>
      </c>
      <c r="G9" s="43">
        <f>+G8+F9</f>
        <v>5</v>
      </c>
      <c r="H9" s="43">
        <f t="shared" ref="H9:H19" si="1">+F9/D9</f>
        <v>3.8461538461538458</v>
      </c>
      <c r="I9" s="44">
        <f>+I8+H9</f>
        <v>8.6538461538461533</v>
      </c>
    </row>
    <row r="10" spans="1:9" x14ac:dyDescent="0.25">
      <c r="A10" s="42">
        <v>3</v>
      </c>
      <c r="B10" s="43">
        <f t="shared" ref="B10:B18" si="2">+C10-C9</f>
        <v>50.180000000000007</v>
      </c>
      <c r="C10" s="43">
        <f>2*60+0.06</f>
        <v>120.06</v>
      </c>
      <c r="D10" s="43">
        <f t="shared" si="0"/>
        <v>0.84</v>
      </c>
      <c r="E10" s="43">
        <f t="shared" ref="E10:I19" si="3">+E9+D10</f>
        <v>2.0099999999999998</v>
      </c>
      <c r="F10" s="43">
        <v>2.5</v>
      </c>
      <c r="G10" s="43">
        <f t="shared" si="3"/>
        <v>7.5</v>
      </c>
      <c r="H10" s="43">
        <f t="shared" si="1"/>
        <v>2.9761904761904763</v>
      </c>
      <c r="I10" s="44">
        <f t="shared" si="3"/>
        <v>11.63003663003663</v>
      </c>
    </row>
    <row r="11" spans="1:9" x14ac:dyDescent="0.25">
      <c r="A11" s="42">
        <v>4</v>
      </c>
      <c r="B11" s="43">
        <f t="shared" si="2"/>
        <v>58.22999999999999</v>
      </c>
      <c r="C11" s="43">
        <f>2*60+58.29</f>
        <v>178.29</v>
      </c>
      <c r="D11" s="43">
        <f t="shared" si="0"/>
        <v>0.97</v>
      </c>
      <c r="E11" s="43">
        <f t="shared" si="3"/>
        <v>2.9799999999999995</v>
      </c>
      <c r="F11" s="43">
        <v>2.5</v>
      </c>
      <c r="G11" s="43">
        <f t="shared" si="3"/>
        <v>10</v>
      </c>
      <c r="H11" s="43">
        <f t="shared" si="1"/>
        <v>2.5773195876288661</v>
      </c>
      <c r="I11" s="44">
        <f t="shared" si="3"/>
        <v>14.207356217665495</v>
      </c>
    </row>
    <row r="12" spans="1:9" x14ac:dyDescent="0.25">
      <c r="A12" s="42">
        <v>5</v>
      </c>
      <c r="B12" s="43">
        <f t="shared" si="2"/>
        <v>72.760000000000019</v>
      </c>
      <c r="C12" s="43">
        <f>4*60+11.05</f>
        <v>251.05</v>
      </c>
      <c r="D12" s="43">
        <f t="shared" si="0"/>
        <v>1.21</v>
      </c>
      <c r="E12" s="43">
        <f t="shared" si="3"/>
        <v>4.1899999999999995</v>
      </c>
      <c r="F12" s="43">
        <v>2.5</v>
      </c>
      <c r="G12" s="43">
        <f t="shared" si="3"/>
        <v>12.5</v>
      </c>
      <c r="H12" s="43">
        <f t="shared" si="1"/>
        <v>2.0661157024793391</v>
      </c>
      <c r="I12" s="44">
        <f t="shared" si="3"/>
        <v>16.273471920144836</v>
      </c>
    </row>
    <row r="13" spans="1:9" x14ac:dyDescent="0.25">
      <c r="A13" s="42">
        <v>6</v>
      </c>
      <c r="B13" s="43">
        <f t="shared" si="2"/>
        <v>81.050000000000011</v>
      </c>
      <c r="C13" s="43">
        <f>5*60+32.1</f>
        <v>332.1</v>
      </c>
      <c r="D13" s="43">
        <f t="shared" si="0"/>
        <v>1.35</v>
      </c>
      <c r="E13" s="43">
        <f t="shared" si="3"/>
        <v>5.5399999999999991</v>
      </c>
      <c r="F13" s="43">
        <v>2.5</v>
      </c>
      <c r="G13" s="43">
        <f t="shared" si="3"/>
        <v>15</v>
      </c>
      <c r="H13" s="43">
        <f t="shared" si="1"/>
        <v>1.8518518518518516</v>
      </c>
      <c r="I13" s="44">
        <f t="shared" si="3"/>
        <v>18.125323771996687</v>
      </c>
    </row>
    <row r="14" spans="1:9" x14ac:dyDescent="0.25">
      <c r="A14" s="42">
        <v>7</v>
      </c>
      <c r="B14" s="43">
        <f t="shared" si="2"/>
        <v>110.46999999999997</v>
      </c>
      <c r="C14" s="43">
        <f>7*60+22.57</f>
        <v>442.57</v>
      </c>
      <c r="D14" s="43">
        <f t="shared" si="0"/>
        <v>1.84</v>
      </c>
      <c r="E14" s="43">
        <f t="shared" si="3"/>
        <v>7.379999999999999</v>
      </c>
      <c r="F14" s="43">
        <v>2.5</v>
      </c>
      <c r="G14" s="43">
        <f t="shared" si="3"/>
        <v>17.5</v>
      </c>
      <c r="H14" s="43">
        <f t="shared" si="1"/>
        <v>1.3586956521739131</v>
      </c>
      <c r="I14" s="44">
        <f t="shared" si="3"/>
        <v>19.484019424170601</v>
      </c>
    </row>
    <row r="15" spans="1:9" x14ac:dyDescent="0.25">
      <c r="A15" s="42">
        <v>8</v>
      </c>
      <c r="B15" s="43">
        <f t="shared" si="2"/>
        <v>117.50000000000006</v>
      </c>
      <c r="C15" s="43">
        <f>9*60+20.07</f>
        <v>560.07000000000005</v>
      </c>
      <c r="D15" s="43">
        <f t="shared" si="0"/>
        <v>1.96</v>
      </c>
      <c r="E15" s="43">
        <f t="shared" si="3"/>
        <v>9.34</v>
      </c>
      <c r="F15" s="43">
        <v>2.5</v>
      </c>
      <c r="G15" s="43">
        <f t="shared" si="3"/>
        <v>20</v>
      </c>
      <c r="H15" s="43">
        <f t="shared" si="1"/>
        <v>1.2755102040816326</v>
      </c>
      <c r="I15" s="44">
        <f t="shared" si="3"/>
        <v>20.759529628252235</v>
      </c>
    </row>
    <row r="16" spans="1:9" x14ac:dyDescent="0.25">
      <c r="A16" s="42">
        <v>9</v>
      </c>
      <c r="B16" s="43">
        <f t="shared" si="2"/>
        <v>141.33999999999992</v>
      </c>
      <c r="C16" s="43">
        <f>11*60+41.41</f>
        <v>701.41</v>
      </c>
      <c r="D16" s="43">
        <f t="shared" si="0"/>
        <v>2.36</v>
      </c>
      <c r="E16" s="43">
        <f t="shared" si="3"/>
        <v>11.7</v>
      </c>
      <c r="F16" s="43">
        <v>2.5</v>
      </c>
      <c r="G16" s="43">
        <f t="shared" si="3"/>
        <v>22.5</v>
      </c>
      <c r="H16" s="43">
        <f t="shared" si="1"/>
        <v>1.0593220338983051</v>
      </c>
      <c r="I16" s="44">
        <f t="shared" si="3"/>
        <v>21.818851662150539</v>
      </c>
    </row>
    <row r="17" spans="1:9" x14ac:dyDescent="0.25">
      <c r="A17" s="45">
        <v>10</v>
      </c>
      <c r="B17" s="43">
        <f t="shared" si="2"/>
        <v>157.28000000000009</v>
      </c>
      <c r="C17" s="43">
        <f>14*60+18.69</f>
        <v>858.69</v>
      </c>
      <c r="D17" s="43">
        <f t="shared" si="0"/>
        <v>2.62</v>
      </c>
      <c r="E17" s="43">
        <f t="shared" si="3"/>
        <v>14.32</v>
      </c>
      <c r="F17" s="43">
        <v>2.5</v>
      </c>
      <c r="G17" s="43">
        <f t="shared" si="3"/>
        <v>25</v>
      </c>
      <c r="H17" s="43">
        <f t="shared" si="1"/>
        <v>0.95419847328244267</v>
      </c>
      <c r="I17" s="44">
        <f t="shared" si="3"/>
        <v>22.773050135432982</v>
      </c>
    </row>
    <row r="18" spans="1:9" x14ac:dyDescent="0.25">
      <c r="A18" s="45">
        <v>11</v>
      </c>
      <c r="B18" s="43">
        <f t="shared" si="2"/>
        <v>166.8599999999999</v>
      </c>
      <c r="C18" s="43">
        <f>17*60+5.55</f>
        <v>1025.55</v>
      </c>
      <c r="D18" s="43">
        <f t="shared" si="0"/>
        <v>2.78</v>
      </c>
      <c r="E18" s="43">
        <f t="shared" si="3"/>
        <v>17.100000000000001</v>
      </c>
      <c r="F18" s="43">
        <v>2.5</v>
      </c>
      <c r="G18" s="43">
        <f t="shared" si="3"/>
        <v>27.5</v>
      </c>
      <c r="H18" s="43">
        <f t="shared" si="1"/>
        <v>0.89928057553956842</v>
      </c>
      <c r="I18" s="44">
        <f t="shared" si="3"/>
        <v>23.672330710972549</v>
      </c>
    </row>
    <row r="19" spans="1:9" ht="15.75" thickBot="1" x14ac:dyDescent="0.3">
      <c r="A19" s="46">
        <v>12</v>
      </c>
      <c r="B19" s="43">
        <f>+C19-C18</f>
        <v>163.81999999999994</v>
      </c>
      <c r="C19" s="47">
        <f>19*60+49.37</f>
        <v>1189.3699999999999</v>
      </c>
      <c r="D19" s="47">
        <f t="shared" si="0"/>
        <v>2.73</v>
      </c>
      <c r="E19" s="47">
        <f t="shared" si="3"/>
        <v>19.830000000000002</v>
      </c>
      <c r="F19" s="47">
        <v>2.5</v>
      </c>
      <c r="G19" s="47">
        <f t="shared" si="3"/>
        <v>30</v>
      </c>
      <c r="H19" s="47">
        <f t="shared" si="1"/>
        <v>0.91575091575091572</v>
      </c>
      <c r="I19" s="48">
        <f t="shared" si="3"/>
        <v>24.588081626723465</v>
      </c>
    </row>
    <row r="20" spans="1:9" ht="15.75" thickBot="1" x14ac:dyDescent="0.3">
      <c r="A20" s="49" t="s">
        <v>109</v>
      </c>
      <c r="B20" s="50">
        <f>+AVERAGE(B8:B19)</f>
        <v>99.114166666666662</v>
      </c>
      <c r="C20" s="51"/>
      <c r="D20" s="50">
        <f>+AVERAGE(D8:D19)</f>
        <v>1.6525000000000001</v>
      </c>
      <c r="E20" s="51"/>
      <c r="F20" s="50">
        <f>+AVERAGE(F8:F19)</f>
        <v>2.5</v>
      </c>
      <c r="G20" s="51"/>
      <c r="H20" s="59">
        <f>+AVERAGE(H8:H19)</f>
        <v>2.0490068022269554</v>
      </c>
      <c r="I20" s="51"/>
    </row>
    <row r="21" spans="1:9" ht="12" customHeight="1" x14ac:dyDescent="0.25"/>
    <row r="22" spans="1:9" x14ac:dyDescent="0.25">
      <c r="A22" s="52" t="s">
        <v>110</v>
      </c>
      <c r="C22" s="53"/>
    </row>
    <row r="23" spans="1:9" ht="12" customHeight="1" x14ac:dyDescent="0.25"/>
    <row r="24" spans="1:9" x14ac:dyDescent="0.25">
      <c r="A24" s="54" t="s">
        <v>122</v>
      </c>
    </row>
    <row r="25" spans="1:9" x14ac:dyDescent="0.25">
      <c r="A25" s="54" t="s">
        <v>123</v>
      </c>
    </row>
    <row r="27" spans="1:9" x14ac:dyDescent="0.25">
      <c r="C27" s="52" t="s">
        <v>112</v>
      </c>
    </row>
    <row r="35" spans="1:4" x14ac:dyDescent="0.25">
      <c r="A35" s="55" t="s">
        <v>113</v>
      </c>
      <c r="C35" s="56">
        <f>+H20</f>
        <v>2.0490068022269554</v>
      </c>
      <c r="D35" s="36" t="s">
        <v>98</v>
      </c>
    </row>
    <row r="36" spans="1:4" x14ac:dyDescent="0.25">
      <c r="A36" s="55" t="s">
        <v>114</v>
      </c>
      <c r="C36" s="56">
        <f>+D20/F20</f>
        <v>0.66100000000000003</v>
      </c>
      <c r="D36" s="36" t="s">
        <v>115</v>
      </c>
    </row>
    <row r="38" spans="1:4" x14ac:dyDescent="0.25">
      <c r="A38" s="54" t="s">
        <v>124</v>
      </c>
    </row>
    <row r="40" spans="1:4" x14ac:dyDescent="0.25">
      <c r="A40" s="57" t="s">
        <v>117</v>
      </c>
    </row>
  </sheetData>
  <mergeCells count="7">
    <mergeCell ref="A1:I1"/>
    <mergeCell ref="A6:A7"/>
    <mergeCell ref="B6:C6"/>
    <mergeCell ref="D6:E6"/>
    <mergeCell ref="F6:G6"/>
    <mergeCell ref="H6:I6"/>
    <mergeCell ref="A3:I4"/>
  </mergeCells>
  <pageMargins left="0.7" right="0.7" top="0.75" bottom="0.75" header="0.3" footer="0.3"/>
  <pageSetup paperSize="9" scale="7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BreakPreview" topLeftCell="A31" zoomScaleNormal="100" zoomScaleSheetLayoutView="100" workbookViewId="0">
      <selection activeCell="A39" sqref="A39"/>
    </sheetView>
  </sheetViews>
  <sheetFormatPr baseColWidth="10" defaultRowHeight="15" x14ac:dyDescent="0.25"/>
  <cols>
    <col min="1" max="1" width="15.85546875" customWidth="1"/>
  </cols>
  <sheetData>
    <row r="1" spans="1:9" ht="21" x14ac:dyDescent="0.35">
      <c r="A1" s="67" t="s">
        <v>100</v>
      </c>
      <c r="B1" s="67"/>
      <c r="C1" s="67"/>
      <c r="D1" s="67"/>
      <c r="E1" s="67"/>
      <c r="F1" s="67"/>
      <c r="G1" s="67"/>
      <c r="H1" s="67"/>
      <c r="I1" s="67"/>
    </row>
    <row r="3" spans="1:9" x14ac:dyDescent="0.25">
      <c r="A3" s="75" t="str">
        <f>+'BIODIGESTOR Y POZO INFILTRACION'!A3:J3</f>
        <v>PROYECTO: "AMPLIACIÓN Y MEJORAMIENTO DEL SISTEMA DE AGUA POTABLE Y CONSTRUCCION DE ALCANTARILLADO DE LA LOCALIDAD DE YANABAMBA, DISTRITO DE SANTO DOMINGO DE ACOBAMBA - HUANCAYO – JUNÍN"</v>
      </c>
      <c r="B3" s="75"/>
      <c r="C3" s="75"/>
      <c r="D3" s="75"/>
      <c r="E3" s="75"/>
      <c r="F3" s="75"/>
      <c r="G3" s="75"/>
      <c r="H3" s="75"/>
      <c r="I3" s="75"/>
    </row>
    <row r="4" spans="1:9" x14ac:dyDescent="0.25">
      <c r="A4" s="75"/>
      <c r="B4" s="75"/>
      <c r="C4" s="75"/>
      <c r="D4" s="75"/>
      <c r="E4" s="75"/>
      <c r="F4" s="75"/>
      <c r="G4" s="75"/>
      <c r="H4" s="75"/>
      <c r="I4" s="75"/>
    </row>
    <row r="5" spans="1:9" ht="15.75" thickBot="1" x14ac:dyDescent="0.3"/>
    <row r="6" spans="1:9" ht="15" customHeight="1" x14ac:dyDescent="0.25">
      <c r="A6" s="68" t="s">
        <v>101</v>
      </c>
      <c r="B6" s="71" t="s">
        <v>102</v>
      </c>
      <c r="C6" s="72"/>
      <c r="D6" s="71" t="s">
        <v>103</v>
      </c>
      <c r="E6" s="72"/>
      <c r="F6" s="71" t="s">
        <v>104</v>
      </c>
      <c r="G6" s="72"/>
      <c r="H6" s="71" t="s">
        <v>105</v>
      </c>
      <c r="I6" s="72"/>
    </row>
    <row r="7" spans="1:9" x14ac:dyDescent="0.25">
      <c r="A7" s="69"/>
      <c r="B7" s="73"/>
      <c r="C7" s="74"/>
      <c r="D7" s="73"/>
      <c r="E7" s="74"/>
      <c r="F7" s="73"/>
      <c r="G7" s="74"/>
      <c r="H7" s="73"/>
      <c r="I7" s="74"/>
    </row>
    <row r="8" spans="1:9" ht="15.75" thickBot="1" x14ac:dyDescent="0.3">
      <c r="A8" s="70"/>
      <c r="B8" s="37" t="s">
        <v>106</v>
      </c>
      <c r="C8" s="37" t="s">
        <v>107</v>
      </c>
      <c r="D8" s="37" t="s">
        <v>108</v>
      </c>
      <c r="E8" s="37" t="s">
        <v>107</v>
      </c>
      <c r="F8" s="37" t="s">
        <v>108</v>
      </c>
      <c r="G8" s="37" t="s">
        <v>107</v>
      </c>
      <c r="H8" s="37" t="s">
        <v>108</v>
      </c>
      <c r="I8" s="38" t="s">
        <v>107</v>
      </c>
    </row>
    <row r="9" spans="1:9" x14ac:dyDescent="0.25">
      <c r="A9" s="39">
        <v>1</v>
      </c>
      <c r="B9" s="40">
        <f>+C9</f>
        <v>36.67</v>
      </c>
      <c r="C9" s="40">
        <f>36.67</f>
        <v>36.67</v>
      </c>
      <c r="D9" s="40">
        <f>+B9/60</f>
        <v>0.61116666666666675</v>
      </c>
      <c r="E9" s="40">
        <f>+D9</f>
        <v>0.61116666666666675</v>
      </c>
      <c r="F9" s="40">
        <v>2.5</v>
      </c>
      <c r="G9" s="40">
        <f>+F9</f>
        <v>2.5</v>
      </c>
      <c r="H9" s="40">
        <f>+F9/D9</f>
        <v>4.0905372238887372</v>
      </c>
      <c r="I9" s="40">
        <f>+H9</f>
        <v>4.0905372238887372</v>
      </c>
    </row>
    <row r="10" spans="1:9" x14ac:dyDescent="0.25">
      <c r="A10" s="42">
        <v>2</v>
      </c>
      <c r="B10" s="43">
        <f>+C10-C9</f>
        <v>49.08</v>
      </c>
      <c r="C10" s="43">
        <f>1*60+25.75</f>
        <v>85.75</v>
      </c>
      <c r="D10" s="43">
        <f>+B10/60</f>
        <v>0.81799999999999995</v>
      </c>
      <c r="E10" s="43">
        <f>+D10+E9</f>
        <v>1.4291666666666667</v>
      </c>
      <c r="F10" s="43">
        <v>2.5</v>
      </c>
      <c r="G10" s="43">
        <f>+F10+G9</f>
        <v>5</v>
      </c>
      <c r="H10" s="43">
        <f>+F10/D10</f>
        <v>3.0562347188264058</v>
      </c>
      <c r="I10" s="43">
        <f>+H10+I9</f>
        <v>7.1467719427151426</v>
      </c>
    </row>
    <row r="11" spans="1:9" x14ac:dyDescent="0.25">
      <c r="A11" s="42">
        <v>3</v>
      </c>
      <c r="B11" s="43">
        <f t="shared" ref="B11:B19" si="0">+C11-C10</f>
        <v>58.329999999999984</v>
      </c>
      <c r="C11" s="43">
        <f>2*60+24.08</f>
        <v>144.07999999999998</v>
      </c>
      <c r="D11" s="43">
        <f t="shared" ref="D11:D20" si="1">+B11/60</f>
        <v>0.9721666666666664</v>
      </c>
      <c r="E11" s="43">
        <f t="shared" ref="E11:I20" si="2">+D11+E10</f>
        <v>2.4013333333333331</v>
      </c>
      <c r="F11" s="43">
        <v>2.5</v>
      </c>
      <c r="G11" s="43">
        <f t="shared" si="2"/>
        <v>7.5</v>
      </c>
      <c r="H11" s="43">
        <f t="shared" ref="H11:H20" si="3">+F11/D11</f>
        <v>2.5715755186010636</v>
      </c>
      <c r="I11" s="43">
        <f t="shared" si="2"/>
        <v>9.7183474613162062</v>
      </c>
    </row>
    <row r="12" spans="1:9" x14ac:dyDescent="0.25">
      <c r="A12" s="42">
        <v>4</v>
      </c>
      <c r="B12" s="43">
        <f t="shared" si="0"/>
        <v>74.180000000000007</v>
      </c>
      <c r="C12" s="43">
        <f>3*60+38.26</f>
        <v>218.26</v>
      </c>
      <c r="D12" s="43">
        <f t="shared" si="1"/>
        <v>1.2363333333333335</v>
      </c>
      <c r="E12" s="43">
        <f t="shared" si="2"/>
        <v>3.6376666666666666</v>
      </c>
      <c r="F12" s="43">
        <v>2.5</v>
      </c>
      <c r="G12" s="43">
        <f t="shared" si="2"/>
        <v>10</v>
      </c>
      <c r="H12" s="43">
        <f t="shared" si="3"/>
        <v>2.0221083850094361</v>
      </c>
      <c r="I12" s="43">
        <f t="shared" si="2"/>
        <v>11.740455846325641</v>
      </c>
    </row>
    <row r="13" spans="1:9" x14ac:dyDescent="0.25">
      <c r="A13" s="42">
        <v>5</v>
      </c>
      <c r="B13" s="43">
        <f t="shared" si="0"/>
        <v>86.360000000000014</v>
      </c>
      <c r="C13" s="43">
        <f>5*60+4.62</f>
        <v>304.62</v>
      </c>
      <c r="D13" s="43">
        <f t="shared" si="1"/>
        <v>1.4393333333333336</v>
      </c>
      <c r="E13" s="43">
        <f t="shared" si="2"/>
        <v>5.077</v>
      </c>
      <c r="F13" s="43">
        <v>2.5</v>
      </c>
      <c r="G13" s="43">
        <f t="shared" si="2"/>
        <v>12.5</v>
      </c>
      <c r="H13" s="43">
        <f t="shared" si="3"/>
        <v>1.7369152385363591</v>
      </c>
      <c r="I13" s="43">
        <f t="shared" si="2"/>
        <v>13.477371084862</v>
      </c>
    </row>
    <row r="14" spans="1:9" x14ac:dyDescent="0.25">
      <c r="A14" s="42">
        <v>6</v>
      </c>
      <c r="B14" s="43">
        <f t="shared" si="0"/>
        <v>92.12</v>
      </c>
      <c r="C14" s="43">
        <f>6*60+36.74</f>
        <v>396.74</v>
      </c>
      <c r="D14" s="43">
        <f t="shared" si="1"/>
        <v>1.5353333333333334</v>
      </c>
      <c r="E14" s="43">
        <f t="shared" si="2"/>
        <v>6.6123333333333338</v>
      </c>
      <c r="F14" s="43">
        <v>2.5</v>
      </c>
      <c r="G14" s="43">
        <f t="shared" si="2"/>
        <v>15</v>
      </c>
      <c r="H14" s="43">
        <f t="shared" si="3"/>
        <v>1.628310898827616</v>
      </c>
      <c r="I14" s="43">
        <f t="shared" si="2"/>
        <v>15.105681983689616</v>
      </c>
    </row>
    <row r="15" spans="1:9" x14ac:dyDescent="0.25">
      <c r="A15" s="42">
        <v>7</v>
      </c>
      <c r="B15" s="43">
        <f t="shared" si="0"/>
        <v>101.88</v>
      </c>
      <c r="C15" s="43">
        <f>8*60+18.62</f>
        <v>498.62</v>
      </c>
      <c r="D15" s="43">
        <f t="shared" si="1"/>
        <v>1.698</v>
      </c>
      <c r="E15" s="43">
        <f t="shared" si="2"/>
        <v>8.3103333333333342</v>
      </c>
      <c r="F15" s="43">
        <v>2.5</v>
      </c>
      <c r="G15" s="43">
        <f t="shared" si="2"/>
        <v>17.5</v>
      </c>
      <c r="H15" s="43">
        <f t="shared" si="3"/>
        <v>1.4723203769140165</v>
      </c>
      <c r="I15" s="43">
        <f t="shared" si="2"/>
        <v>16.578002360603634</v>
      </c>
    </row>
    <row r="16" spans="1:9" x14ac:dyDescent="0.25">
      <c r="A16" s="42">
        <v>8</v>
      </c>
      <c r="B16" s="43">
        <f t="shared" si="0"/>
        <v>144.75</v>
      </c>
      <c r="C16" s="43">
        <f>10*60+43.37</f>
        <v>643.37</v>
      </c>
      <c r="D16" s="43">
        <f t="shared" si="1"/>
        <v>2.4125000000000001</v>
      </c>
      <c r="E16" s="43">
        <f t="shared" si="2"/>
        <v>10.722833333333334</v>
      </c>
      <c r="F16" s="43">
        <v>2.5</v>
      </c>
      <c r="G16" s="43">
        <f t="shared" si="2"/>
        <v>20</v>
      </c>
      <c r="H16" s="43">
        <f t="shared" si="3"/>
        <v>1.0362694300518134</v>
      </c>
      <c r="I16" s="43">
        <f t="shared" si="2"/>
        <v>17.614271790655447</v>
      </c>
    </row>
    <row r="17" spans="1:9" x14ac:dyDescent="0.25">
      <c r="A17" s="42">
        <v>9</v>
      </c>
      <c r="B17" s="43">
        <f t="shared" si="0"/>
        <v>183.01999999999998</v>
      </c>
      <c r="C17" s="43">
        <f>13*60+46.39</f>
        <v>826.39</v>
      </c>
      <c r="D17" s="43">
        <f t="shared" si="1"/>
        <v>3.0503333333333331</v>
      </c>
      <c r="E17" s="43">
        <f t="shared" si="2"/>
        <v>13.773166666666667</v>
      </c>
      <c r="F17" s="43">
        <v>2.5</v>
      </c>
      <c r="G17" s="43">
        <f t="shared" si="2"/>
        <v>22.5</v>
      </c>
      <c r="H17" s="43">
        <f t="shared" si="3"/>
        <v>0.8195825592831385</v>
      </c>
      <c r="I17" s="43">
        <f t="shared" si="2"/>
        <v>18.433854349938585</v>
      </c>
    </row>
    <row r="18" spans="1:9" x14ac:dyDescent="0.25">
      <c r="A18" s="45">
        <v>10</v>
      </c>
      <c r="B18" s="43">
        <f t="shared" si="0"/>
        <v>224.65999999999997</v>
      </c>
      <c r="C18" s="43">
        <f>17*60+31.05</f>
        <v>1051.05</v>
      </c>
      <c r="D18" s="43">
        <f t="shared" si="1"/>
        <v>3.7443333333333326</v>
      </c>
      <c r="E18" s="43">
        <f t="shared" si="2"/>
        <v>17.517499999999998</v>
      </c>
      <c r="F18" s="43">
        <v>2.5</v>
      </c>
      <c r="G18" s="43">
        <f t="shared" si="2"/>
        <v>25</v>
      </c>
      <c r="H18" s="43">
        <f t="shared" si="3"/>
        <v>0.66767559868245363</v>
      </c>
      <c r="I18" s="43">
        <f t="shared" si="2"/>
        <v>19.101529948621039</v>
      </c>
    </row>
    <row r="19" spans="1:9" x14ac:dyDescent="0.25">
      <c r="A19" s="45">
        <v>11</v>
      </c>
      <c r="B19" s="43">
        <f t="shared" si="0"/>
        <v>315.53999999999996</v>
      </c>
      <c r="C19" s="43">
        <f>22*60+46.59</f>
        <v>1366.59</v>
      </c>
      <c r="D19" s="43">
        <f t="shared" si="1"/>
        <v>5.2589999999999995</v>
      </c>
      <c r="E19" s="43">
        <f t="shared" si="2"/>
        <v>22.776499999999999</v>
      </c>
      <c r="F19" s="43">
        <v>2.5</v>
      </c>
      <c r="G19" s="43">
        <f t="shared" si="2"/>
        <v>27.5</v>
      </c>
      <c r="H19" s="43">
        <f t="shared" si="3"/>
        <v>0.47537554668187876</v>
      </c>
      <c r="I19" s="43">
        <f t="shared" si="2"/>
        <v>19.576905495302917</v>
      </c>
    </row>
    <row r="20" spans="1:9" ht="15.75" thickBot="1" x14ac:dyDescent="0.3">
      <c r="A20" s="46">
        <v>12</v>
      </c>
      <c r="B20" s="43">
        <f>+C20-C19</f>
        <v>443.05000000000018</v>
      </c>
      <c r="C20" s="47">
        <f>30*60+9.64</f>
        <v>1809.64</v>
      </c>
      <c r="D20" s="43">
        <f t="shared" si="1"/>
        <v>7.3841666666666699</v>
      </c>
      <c r="E20" s="47">
        <f t="shared" si="2"/>
        <v>30.160666666666668</v>
      </c>
      <c r="F20" s="47">
        <v>2.5</v>
      </c>
      <c r="G20" s="47">
        <f t="shared" si="2"/>
        <v>30</v>
      </c>
      <c r="H20" s="43">
        <f t="shared" si="3"/>
        <v>0.33856223902494059</v>
      </c>
      <c r="I20" s="47">
        <f t="shared" si="2"/>
        <v>19.915467734327859</v>
      </c>
    </row>
    <row r="21" spans="1:9" ht="15.75" thickBot="1" x14ac:dyDescent="0.3">
      <c r="A21" s="49" t="s">
        <v>109</v>
      </c>
      <c r="B21" s="50">
        <f>+AVERAGE(B9:B20)</f>
        <v>150.80333333333334</v>
      </c>
      <c r="C21" s="51"/>
      <c r="D21" s="50">
        <f>+AVERAGE(D9:D20)</f>
        <v>2.5133888888888891</v>
      </c>
      <c r="E21" s="51"/>
      <c r="F21" s="50">
        <f>+AVERAGE(F9:F20)</f>
        <v>2.5</v>
      </c>
      <c r="G21" s="51"/>
      <c r="H21" s="60">
        <f>+AVERAGE(H9:H20)</f>
        <v>1.6596223111939883</v>
      </c>
      <c r="I21" s="51"/>
    </row>
    <row r="23" spans="1:9" x14ac:dyDescent="0.25">
      <c r="A23" s="52" t="s">
        <v>110</v>
      </c>
      <c r="C23" s="53"/>
    </row>
    <row r="25" spans="1:9" x14ac:dyDescent="0.25">
      <c r="A25" s="54" t="s">
        <v>111</v>
      </c>
    </row>
    <row r="27" spans="1:9" x14ac:dyDescent="0.25">
      <c r="C27" s="52" t="s">
        <v>112</v>
      </c>
    </row>
    <row r="35" spans="1:4" x14ac:dyDescent="0.25">
      <c r="A35" s="55" t="s">
        <v>113</v>
      </c>
      <c r="C35" s="56">
        <f>+H21</f>
        <v>1.6596223111939883</v>
      </c>
      <c r="D35" s="36" t="s">
        <v>98</v>
      </c>
    </row>
    <row r="36" spans="1:4" x14ac:dyDescent="0.25">
      <c r="A36" s="55" t="s">
        <v>114</v>
      </c>
      <c r="C36" s="56">
        <f>+D21/F21</f>
        <v>1.0053555555555556</v>
      </c>
      <c r="D36" s="36" t="s">
        <v>115</v>
      </c>
    </row>
    <row r="38" spans="1:4" x14ac:dyDescent="0.25">
      <c r="A38" s="54" t="s">
        <v>124</v>
      </c>
    </row>
    <row r="40" spans="1:4" x14ac:dyDescent="0.25">
      <c r="A40" s="57" t="s">
        <v>117</v>
      </c>
    </row>
  </sheetData>
  <mergeCells count="7">
    <mergeCell ref="H6:I7"/>
    <mergeCell ref="A3:I4"/>
    <mergeCell ref="A1:I1"/>
    <mergeCell ref="A6:A8"/>
    <mergeCell ref="B6:C7"/>
    <mergeCell ref="D6:E7"/>
    <mergeCell ref="F6:G7"/>
  </mergeCells>
  <pageMargins left="0.7" right="0.7" top="0.75" bottom="0.75" header="0.3" footer="0.3"/>
  <pageSetup paperSize="9" scale="83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BIODIGESTOR Y POZO INFILTRACION</vt:lpstr>
      <vt:lpstr>TEST DE PERCOLACION 01</vt:lpstr>
      <vt:lpstr>TEST DE PERCOLACION 02</vt:lpstr>
      <vt:lpstr>TEST DE PERCOLACION 03</vt:lpstr>
      <vt:lpstr>TEST DE PERCOLACION 04</vt:lpstr>
      <vt:lpstr>'BIODIGESTOR Y POZO INFILTRACION'!Área_de_impresión</vt:lpstr>
      <vt:lpstr>'BIODIGESTOR Y POZO INFILTRACION'!Títulos_a_imprimir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</dc:creator>
  <cp:lastModifiedBy>peralta</cp:lastModifiedBy>
  <cp:lastPrinted>2016-04-20T17:14:12Z</cp:lastPrinted>
  <dcterms:created xsi:type="dcterms:W3CDTF">2012-04-13T14:03:42Z</dcterms:created>
  <dcterms:modified xsi:type="dcterms:W3CDTF">2016-04-20T17:14:16Z</dcterms:modified>
</cp:coreProperties>
</file>